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EstaPastaDeTrabalho" defaultThemeVersion="166925"/>
  <mc:AlternateContent xmlns:mc="http://schemas.openxmlformats.org/markup-compatibility/2006">
    <mc:Choice Requires="x15">
      <x15ac:absPath xmlns:x15ac="http://schemas.microsoft.com/office/spreadsheetml/2010/11/ac" url="Z:\COPELI\Area_compartilhada\LICITAÇÕES EM ANDAMENTO\2022\012-2022\"/>
    </mc:Choice>
  </mc:AlternateContent>
  <xr:revisionPtr revIDLastSave="0" documentId="8_{5F6E5B89-54C2-47DC-982D-45FA52A92C0C}" xr6:coauthVersionLast="46" xr6:coauthVersionMax="46" xr10:uidLastSave="{00000000-0000-0000-0000-000000000000}"/>
  <bookViews>
    <workbookView xWindow="-108" yWindow="-108" windowWidth="23256" windowHeight="12720" tabRatio="858" activeTab="3" xr2:uid="{00000000-000D-0000-FFFF-FFFF00000000}"/>
  </bookViews>
  <sheets>
    <sheet name="Composições" sheetId="5" r:id="rId1"/>
    <sheet name="Comp.Aux1" sheetId="6" r:id="rId2"/>
    <sheet name="Comp.Aux2" sheetId="7" r:id="rId3"/>
    <sheet name="Orçamentária" sheetId="19" r:id="rId4"/>
    <sheet name="BDI" sheetId="9" r:id="rId5"/>
  </sheets>
  <definedNames>
    <definedName name="_xlnm._FilterDatabase" localSheetId="1" hidden="1">'Comp.Aux1'!$A$5:$I$605</definedName>
    <definedName name="_xlnm._FilterDatabase" localSheetId="2" hidden="1">'Comp.Aux2'!$A$5:$I$126</definedName>
    <definedName name="_xlnm._FilterDatabase" localSheetId="0" hidden="1">Composições!$A$5:$J$6118</definedName>
    <definedName name="_xlnm._FilterDatabase" localSheetId="3" hidden="1">Orçamentária!$A$5:$J$142</definedName>
    <definedName name="_xlnm.Print_Area" localSheetId="4">BDI!$A$1:$E$39</definedName>
    <definedName name="_xlnm.Print_Area" localSheetId="1">'Comp.Aux1'!$A$1:$G$606</definedName>
    <definedName name="_xlnm.Print_Area" localSheetId="2">'Comp.Aux2'!$A$1:$G$126</definedName>
    <definedName name="_xlnm.Print_Area" localSheetId="0">Composições!$A$1:$H$6119</definedName>
    <definedName name="_xlnm.Print_Area" localSheetId="3">Orçamentária!$A$1:$I$144</definedName>
    <definedName name="Arial">#REF!</definedName>
    <definedName name="_xlnm.Print_Titles" localSheetId="1">'Comp.Aux1'!$1:$5</definedName>
    <definedName name="_xlnm.Print_Titles" localSheetId="2">'Comp.Aux2'!$1:$5</definedName>
    <definedName name="_xlnm.Print_Titles" localSheetId="0">Composições!$1:$5</definedName>
    <definedName name="_xlnm.Print_Titles" localSheetId="3">Orçamentária!$1:$5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113" i="5" l="1"/>
  <c r="B6113" i="5"/>
  <c r="D6106" i="5"/>
  <c r="B6106" i="5"/>
  <c r="D6077" i="5"/>
  <c r="B6077" i="5"/>
  <c r="D6072" i="5"/>
  <c r="B6072" i="5"/>
  <c r="D6063" i="5"/>
  <c r="B6063" i="5"/>
  <c r="D6053" i="5"/>
  <c r="B6053" i="5"/>
  <c r="D6029" i="5"/>
  <c r="B6029" i="5"/>
  <c r="D6018" i="5"/>
  <c r="B6018" i="5"/>
  <c r="D6009" i="5"/>
  <c r="B6009" i="5"/>
  <c r="D6001" i="5"/>
  <c r="B6001" i="5"/>
  <c r="D5993" i="5"/>
  <c r="B5993" i="5"/>
  <c r="D5987" i="5"/>
  <c r="B5987" i="5"/>
  <c r="D5976" i="5"/>
  <c r="B5976" i="5"/>
  <c r="D5967" i="5"/>
  <c r="B5967" i="5"/>
  <c r="D5961" i="5"/>
  <c r="B5961" i="5"/>
  <c r="D5321" i="5"/>
  <c r="B5321" i="5"/>
  <c r="D5314" i="5"/>
  <c r="B5314" i="5"/>
  <c r="D5310" i="5"/>
  <c r="B5310" i="5"/>
  <c r="D5304" i="5"/>
  <c r="B5304" i="5"/>
  <c r="D5298" i="5"/>
  <c r="B5298" i="5"/>
  <c r="D5292" i="5"/>
  <c r="B5292" i="5"/>
  <c r="D5285" i="5"/>
  <c r="B5285" i="5"/>
  <c r="D5279" i="5"/>
  <c r="B5279" i="5"/>
  <c r="D5273" i="5"/>
  <c r="B5273" i="5"/>
  <c r="D5261" i="5"/>
  <c r="B5261" i="5"/>
  <c r="D5251" i="5"/>
  <c r="B5251" i="5"/>
  <c r="D5244" i="5"/>
  <c r="B5244" i="5"/>
  <c r="D5236" i="5"/>
  <c r="B5236" i="5"/>
  <c r="D5228" i="5"/>
  <c r="B5228" i="5"/>
  <c r="D5220" i="5"/>
  <c r="B5220" i="5"/>
  <c r="D5214" i="5"/>
  <c r="B5214" i="5"/>
  <c r="D5208" i="5"/>
  <c r="B5208" i="5"/>
  <c r="D5201" i="5"/>
  <c r="B5201" i="5"/>
  <c r="D5195" i="5"/>
  <c r="B5195" i="5"/>
  <c r="D5189" i="5"/>
  <c r="B5189" i="5"/>
  <c r="D5182" i="5"/>
  <c r="B5182" i="5"/>
  <c r="D5175" i="5"/>
  <c r="B5175" i="5"/>
  <c r="D5168" i="5"/>
  <c r="B5168" i="5"/>
  <c r="D5162" i="5"/>
  <c r="B5162" i="5"/>
  <c r="D5156" i="5"/>
  <c r="B5156" i="5"/>
  <c r="D5150" i="5"/>
  <c r="B5150" i="5"/>
  <c r="D5144" i="5"/>
  <c r="B5144" i="5"/>
  <c r="D5138" i="5"/>
  <c r="B5138" i="5"/>
  <c r="D5119" i="5"/>
  <c r="B5119" i="5"/>
  <c r="D5113" i="5"/>
  <c r="B5113" i="5"/>
  <c r="D5086" i="5"/>
  <c r="B5086" i="5"/>
  <c r="D4427" i="5"/>
  <c r="B4427" i="5"/>
  <c r="D4216" i="5"/>
  <c r="B4216" i="5"/>
  <c r="D4157" i="5"/>
  <c r="B4157" i="5"/>
  <c r="D3870" i="5"/>
  <c r="B3870" i="5"/>
  <c r="D3838" i="5"/>
  <c r="B3838" i="5"/>
  <c r="D3810" i="5"/>
  <c r="B3810" i="5"/>
  <c r="D3804" i="5"/>
  <c r="B3804" i="5"/>
  <c r="D3788" i="5"/>
  <c r="B3788" i="5"/>
  <c r="D3701" i="5"/>
  <c r="B3701" i="5"/>
  <c r="D3697" i="5"/>
  <c r="B3697" i="5"/>
  <c r="D3693" i="5"/>
  <c r="B3693" i="5"/>
  <c r="D3656" i="5"/>
  <c r="B3656" i="5"/>
  <c r="D3632" i="5"/>
  <c r="B3632" i="5"/>
  <c r="D3620" i="5"/>
  <c r="B3620" i="5"/>
  <c r="D3612" i="5"/>
  <c r="B3612" i="5"/>
  <c r="D3597" i="5"/>
  <c r="B3597" i="5"/>
  <c r="D3591" i="5"/>
  <c r="B3591" i="5"/>
  <c r="D3587" i="5"/>
  <c r="B3587" i="5"/>
  <c r="D3579" i="5"/>
  <c r="B3579" i="5"/>
  <c r="D3559" i="5"/>
  <c r="B3559" i="5"/>
  <c r="D3553" i="5"/>
  <c r="B3553" i="5"/>
  <c r="D3350" i="5"/>
  <c r="B3350" i="5"/>
  <c r="D3322" i="5"/>
  <c r="B3322" i="5"/>
  <c r="D3275" i="5"/>
  <c r="B3275" i="5"/>
  <c r="D3261" i="5"/>
  <c r="B3261" i="5"/>
  <c r="D3247" i="5"/>
  <c r="B3247" i="5"/>
  <c r="D3240" i="5"/>
  <c r="B3240" i="5"/>
  <c r="D3233" i="5"/>
  <c r="B3233" i="5"/>
  <c r="D3166" i="5"/>
  <c r="B3166" i="5"/>
  <c r="D3159" i="5"/>
  <c r="B3159" i="5"/>
  <c r="D3155" i="5"/>
  <c r="B3155" i="5"/>
  <c r="D3142" i="5"/>
  <c r="B3142" i="5"/>
  <c r="D3134" i="5"/>
  <c r="B3134" i="5"/>
  <c r="D3035" i="5"/>
  <c r="B3035" i="5"/>
  <c r="D1783" i="5"/>
  <c r="B1783" i="5"/>
  <c r="D1769" i="5"/>
  <c r="B1769" i="5"/>
  <c r="D1762" i="5"/>
  <c r="B1762" i="5"/>
  <c r="D1683" i="5"/>
  <c r="B1683" i="5"/>
  <c r="D1609" i="5"/>
  <c r="B1609" i="5"/>
  <c r="D1576" i="5"/>
  <c r="B1576" i="5"/>
  <c r="D1562" i="5"/>
  <c r="B1562" i="5"/>
  <c r="D1532" i="5"/>
  <c r="B1532" i="5"/>
  <c r="D1524" i="5"/>
  <c r="B1524" i="5"/>
  <c r="D1396" i="5"/>
  <c r="B1396" i="5"/>
  <c r="D1372" i="5"/>
  <c r="B1372" i="5"/>
  <c r="D934" i="5"/>
  <c r="B934" i="5"/>
  <c r="D909" i="5"/>
  <c r="B909" i="5"/>
  <c r="D553" i="5"/>
  <c r="B553" i="5"/>
  <c r="D454" i="5"/>
  <c r="B454" i="5"/>
  <c r="D440" i="5"/>
  <c r="B440" i="5"/>
  <c r="D394" i="5"/>
  <c r="B394" i="5"/>
  <c r="D371" i="5"/>
  <c r="B371" i="5"/>
  <c r="D341" i="5"/>
  <c r="B341" i="5"/>
  <c r="D290" i="5"/>
  <c r="B290" i="5"/>
  <c r="D283" i="5"/>
  <c r="B283" i="5"/>
  <c r="D276" i="5"/>
  <c r="B276" i="5"/>
  <c r="D248" i="5"/>
  <c r="B248" i="5"/>
  <c r="D224" i="5"/>
  <c r="B224" i="5"/>
  <c r="D69" i="5"/>
  <c r="B69" i="5"/>
  <c r="D28" i="5"/>
  <c r="B28" i="5"/>
  <c r="D23" i="5"/>
  <c r="B23" i="5"/>
  <c r="D18" i="5"/>
  <c r="B18" i="5"/>
  <c r="D14" i="5"/>
  <c r="B14" i="5"/>
  <c r="D10" i="5"/>
  <c r="B10" i="5"/>
  <c r="D6" i="5"/>
  <c r="B6" i="5"/>
  <c r="A3" i="5"/>
  <c r="A1" i="5"/>
  <c r="E6097" i="5" l="1"/>
  <c r="E6102" i="5"/>
  <c r="E6101" i="5"/>
  <c r="G5320" i="5" l="1"/>
  <c r="G5315" i="5"/>
  <c r="G5314" i="5" l="1"/>
  <c r="D601" i="6"/>
  <c r="F604" i="6"/>
  <c r="D602" i="6"/>
  <c r="F593" i="6"/>
  <c r="F123" i="7"/>
  <c r="F587" i="6"/>
  <c r="F573" i="6"/>
  <c r="D571" i="6"/>
  <c r="D570" i="6"/>
  <c r="F556" i="6"/>
  <c r="D118" i="7"/>
  <c r="D117" i="7"/>
  <c r="F120" i="7"/>
  <c r="F108" i="7"/>
  <c r="F550" i="6"/>
  <c r="F525" i="6"/>
  <c r="D521" i="6"/>
  <c r="D520" i="6"/>
  <c r="F523" i="6"/>
  <c r="F514" i="6"/>
  <c r="G6118" i="5"/>
  <c r="G6114" i="5"/>
  <c r="G6113" i="5"/>
  <c r="G6112" i="5"/>
  <c r="E6111" i="5"/>
  <c r="E6110" i="5"/>
  <c r="G6107" i="5"/>
  <c r="G6092" i="5"/>
  <c r="G6091" i="5"/>
  <c r="D6091" i="5"/>
  <c r="B6091" i="5"/>
  <c r="G6078" i="5"/>
  <c r="G6073" i="5"/>
  <c r="G6064" i="5"/>
  <c r="G6054" i="5"/>
  <c r="G6030" i="5"/>
  <c r="G6019" i="5"/>
  <c r="G6010" i="5"/>
  <c r="G6002" i="5"/>
  <c r="G5994" i="5"/>
  <c r="G5988" i="5"/>
  <c r="G5977" i="5"/>
  <c r="G5968" i="5"/>
  <c r="G5962" i="5"/>
  <c r="G5961" i="5" l="1"/>
  <c r="G5987" i="5"/>
  <c r="G5993" i="5"/>
  <c r="G6009" i="5"/>
  <c r="G6018" i="5"/>
  <c r="G6029" i="5"/>
  <c r="G6072" i="5"/>
  <c r="G6077" i="5"/>
  <c r="G6106" i="5"/>
  <c r="F605" i="6"/>
  <c r="F594" i="6"/>
  <c r="F603" i="6"/>
  <c r="G5976" i="5"/>
  <c r="G6063" i="5"/>
  <c r="F588" i="6"/>
  <c r="F592" i="6"/>
  <c r="F589" i="6"/>
  <c r="F126" i="7"/>
  <c r="F122" i="7"/>
  <c r="F582" i="6"/>
  <c r="F581" i="6"/>
  <c r="F576" i="6"/>
  <c r="F580" i="6"/>
  <c r="F575" i="6"/>
  <c r="F572" i="6"/>
  <c r="F574" i="6"/>
  <c r="F562" i="6"/>
  <c r="F563" i="6"/>
  <c r="F555" i="6"/>
  <c r="F561" i="6"/>
  <c r="F119" i="7"/>
  <c r="F121" i="7"/>
  <c r="F109" i="7"/>
  <c r="F554" i="6"/>
  <c r="F549" i="6"/>
  <c r="F544" i="6"/>
  <c r="F548" i="6"/>
  <c r="F543" i="6"/>
  <c r="F538" i="6"/>
  <c r="F542" i="6"/>
  <c r="F537" i="6"/>
  <c r="F532" i="6"/>
  <c r="F536" i="6"/>
  <c r="F531" i="6"/>
  <c r="F530" i="6"/>
  <c r="F526" i="6"/>
  <c r="F522" i="6"/>
  <c r="F515" i="6"/>
  <c r="F524" i="6"/>
  <c r="G6053" i="5"/>
  <c r="G6001" i="5"/>
  <c r="G5967" i="5"/>
  <c r="F106" i="7" l="1"/>
  <c r="D104" i="7"/>
  <c r="D103" i="7"/>
  <c r="F94" i="7"/>
  <c r="F512" i="6"/>
  <c r="D510" i="6"/>
  <c r="D509" i="6"/>
  <c r="F502" i="6"/>
  <c r="F483" i="6"/>
  <c r="G5324" i="5"/>
  <c r="G5322" i="5"/>
  <c r="G5321" i="5"/>
  <c r="G5313" i="5"/>
  <c r="G5311" i="5"/>
  <c r="G5309" i="5"/>
  <c r="G5305" i="5"/>
  <c r="G5304" i="5"/>
  <c r="G5303" i="5"/>
  <c r="G5299" i="5"/>
  <c r="G5297" i="5"/>
  <c r="G5293" i="5"/>
  <c r="F105" i="7" l="1"/>
  <c r="F95" i="7"/>
  <c r="F107" i="7"/>
  <c r="F511" i="6"/>
  <c r="F484" i="6"/>
  <c r="F503" i="6"/>
  <c r="F501" i="6"/>
  <c r="F513" i="6"/>
  <c r="F500" i="6"/>
  <c r="F499" i="6"/>
  <c r="G5310" i="5"/>
  <c r="G5298" i="5"/>
  <c r="G5292" i="5"/>
  <c r="G5291" i="5"/>
  <c r="G5286" i="5"/>
  <c r="G5284" i="5"/>
  <c r="G5280" i="5"/>
  <c r="G5279" i="5"/>
  <c r="G5278" i="5"/>
  <c r="G5274" i="5"/>
  <c r="G5273" i="5"/>
  <c r="G5285" i="5" l="1"/>
  <c r="E5269" i="5"/>
  <c r="E5268" i="5"/>
  <c r="E5263" i="5"/>
  <c r="E5265" i="5"/>
  <c r="E5266" i="5"/>
  <c r="E5267" i="5"/>
  <c r="E5264" i="5"/>
  <c r="G5272" i="5"/>
  <c r="G5262" i="5"/>
  <c r="G5261" i="5" l="1"/>
  <c r="E5259" i="5" l="1"/>
  <c r="E5258" i="5"/>
  <c r="E5257" i="5"/>
  <c r="E5256" i="5"/>
  <c r="E5255" i="5"/>
  <c r="E5254" i="5"/>
  <c r="E5253" i="5"/>
  <c r="G5260" i="5"/>
  <c r="G5252" i="5"/>
  <c r="E5248" i="5"/>
  <c r="E5249" i="5"/>
  <c r="G5250" i="5"/>
  <c r="G5245" i="5"/>
  <c r="G5243" i="5"/>
  <c r="G5237" i="5"/>
  <c r="G5235" i="5"/>
  <c r="G5229" i="5"/>
  <c r="G5228" i="5" l="1"/>
  <c r="G5236" i="5"/>
  <c r="G5251" i="5"/>
  <c r="G5244" i="5"/>
  <c r="G5227" i="5"/>
  <c r="G5221" i="5"/>
  <c r="G5220" i="5" l="1"/>
  <c r="G5219" i="5"/>
  <c r="G5215" i="5"/>
  <c r="G5214" i="5"/>
  <c r="G5213" i="5"/>
  <c r="G5209" i="5"/>
  <c r="G5208" i="5"/>
  <c r="G5207" i="5" l="1"/>
  <c r="E5204" i="5"/>
  <c r="E5203" i="5"/>
  <c r="G5202" i="5"/>
  <c r="G5201" i="5"/>
  <c r="G5200" i="5" l="1"/>
  <c r="G5196" i="5"/>
  <c r="G5194" i="5"/>
  <c r="G5190" i="5"/>
  <c r="G5189" i="5"/>
  <c r="G5195" i="5" l="1"/>
  <c r="G5188" i="5"/>
  <c r="G5183" i="5"/>
  <c r="G5181" i="5"/>
  <c r="G5176" i="5"/>
  <c r="G5175" i="5" l="1"/>
  <c r="G5182" i="5"/>
  <c r="G5143" i="5" l="1"/>
  <c r="G5139" i="5"/>
  <c r="G5138" i="5" l="1"/>
  <c r="A143" i="19" l="1"/>
  <c r="D90" i="7" l="1"/>
  <c r="D89" i="7"/>
  <c r="D67" i="7"/>
  <c r="D66" i="7"/>
  <c r="D54" i="7"/>
  <c r="D53" i="7"/>
  <c r="D31" i="7"/>
  <c r="D32" i="7"/>
  <c r="D479" i="6"/>
  <c r="D478" i="6"/>
  <c r="F92" i="7"/>
  <c r="F72" i="7"/>
  <c r="F481" i="6"/>
  <c r="F467" i="6"/>
  <c r="F448" i="6"/>
  <c r="D446" i="6"/>
  <c r="D445" i="6"/>
  <c r="E2246" i="5"/>
  <c r="E2262" i="5"/>
  <c r="E2272" i="5"/>
  <c r="E2282" i="5"/>
  <c r="E2292" i="5"/>
  <c r="E2302" i="5"/>
  <c r="F91" i="7" l="1"/>
  <c r="F80" i="7"/>
  <c r="F93" i="7"/>
  <c r="F81" i="7"/>
  <c r="F79" i="7"/>
  <c r="F73" i="7"/>
  <c r="F482" i="6"/>
  <c r="F480" i="6"/>
  <c r="F469" i="6"/>
  <c r="F470" i="6"/>
  <c r="F450" i="6"/>
  <c r="F468" i="6"/>
  <c r="F451" i="6"/>
  <c r="F466" i="6"/>
  <c r="F438" i="6"/>
  <c r="F447" i="6"/>
  <c r="F449" i="6"/>
  <c r="F439" i="6"/>
  <c r="E5103" i="5" l="1"/>
  <c r="E5102" i="5"/>
  <c r="E5101" i="5"/>
  <c r="E5100" i="5"/>
  <c r="E5099" i="5"/>
  <c r="E5098" i="5"/>
  <c r="E5097" i="5"/>
  <c r="E5096" i="5"/>
  <c r="E5095" i="5"/>
  <c r="E519" i="5"/>
  <c r="D2723" i="5"/>
  <c r="D5957" i="5"/>
  <c r="D5953" i="5"/>
  <c r="D5949" i="5"/>
  <c r="D5941" i="5"/>
  <c r="D5937" i="5"/>
  <c r="D5933" i="5"/>
  <c r="D5929" i="5"/>
  <c r="D5925" i="5"/>
  <c r="D5921" i="5"/>
  <c r="D5917" i="5"/>
  <c r="D5913" i="5"/>
  <c r="D5909" i="5"/>
  <c r="D5905" i="5"/>
  <c r="D5901" i="5"/>
  <c r="D5897" i="5"/>
  <c r="D5893" i="5"/>
  <c r="D5889" i="5"/>
  <c r="D5885" i="5"/>
  <c r="D5881" i="5"/>
  <c r="D5877" i="5"/>
  <c r="D5873" i="5"/>
  <c r="D5869" i="5"/>
  <c r="D5865" i="5"/>
  <c r="D5861" i="5"/>
  <c r="D5857" i="5"/>
  <c r="D5853" i="5"/>
  <c r="D5849" i="5"/>
  <c r="D5845" i="5"/>
  <c r="D5841" i="5"/>
  <c r="D5837" i="5"/>
  <c r="D5833" i="5"/>
  <c r="D5829" i="5"/>
  <c r="D5825" i="5"/>
  <c r="D5821" i="5"/>
  <c r="D5817" i="5"/>
  <c r="D5813" i="5"/>
  <c r="D5809" i="5"/>
  <c r="D5805" i="5"/>
  <c r="D5801" i="5"/>
  <c r="D5797" i="5"/>
  <c r="D5793" i="5"/>
  <c r="D5789" i="5"/>
  <c r="D5785" i="5"/>
  <c r="D5781" i="5"/>
  <c r="D5777" i="5"/>
  <c r="D5773" i="5"/>
  <c r="D5769" i="5"/>
  <c r="D5765" i="5"/>
  <c r="D5761" i="5"/>
  <c r="D5757" i="5"/>
  <c r="D5753" i="5"/>
  <c r="D5749" i="5"/>
  <c r="D5745" i="5"/>
  <c r="D5741" i="5"/>
  <c r="D5737" i="5"/>
  <c r="D5733" i="5"/>
  <c r="D5729" i="5"/>
  <c r="D5725" i="5"/>
  <c r="D5721" i="5"/>
  <c r="D5717" i="5"/>
  <c r="D5713" i="5"/>
  <c r="D5709" i="5"/>
  <c r="D5705" i="5"/>
  <c r="D5701" i="5"/>
  <c r="D5697" i="5"/>
  <c r="D5693" i="5"/>
  <c r="D5689" i="5"/>
  <c r="D5685" i="5"/>
  <c r="D5681" i="5"/>
  <c r="D5677" i="5"/>
  <c r="D5673" i="5"/>
  <c r="D5669" i="5"/>
  <c r="D5665" i="5"/>
  <c r="D5661" i="5"/>
  <c r="D5657" i="5"/>
  <c r="D5653" i="5"/>
  <c r="D5649" i="5"/>
  <c r="D5645" i="5"/>
  <c r="D5641" i="5"/>
  <c r="D5637" i="5"/>
  <c r="D5633" i="5"/>
  <c r="D5629" i="5"/>
  <c r="D5625" i="5"/>
  <c r="D5621" i="5"/>
  <c r="D5617" i="5"/>
  <c r="D5613" i="5"/>
  <c r="D5609" i="5"/>
  <c r="D5605" i="5"/>
  <c r="D5601" i="5"/>
  <c r="D5597" i="5"/>
  <c r="D5593" i="5"/>
  <c r="D5589" i="5"/>
  <c r="D5585" i="5"/>
  <c r="D5581" i="5"/>
  <c r="D5577" i="5"/>
  <c r="D5573" i="5"/>
  <c r="D5569" i="5"/>
  <c r="D5565" i="5"/>
  <c r="D5561" i="5"/>
  <c r="D5557" i="5"/>
  <c r="D5553" i="5"/>
  <c r="D5549" i="5"/>
  <c r="D5545" i="5"/>
  <c r="D5541" i="5"/>
  <c r="D5537" i="5"/>
  <c r="D5533" i="5"/>
  <c r="D5529" i="5"/>
  <c r="D5525" i="5"/>
  <c r="D5521" i="5"/>
  <c r="D5517" i="5"/>
  <c r="D5513" i="5"/>
  <c r="D5509" i="5"/>
  <c r="D5505" i="5"/>
  <c r="D5501" i="5"/>
  <c r="D5497" i="5"/>
  <c r="D5493" i="5"/>
  <c r="D5489" i="5"/>
  <c r="D5485" i="5"/>
  <c r="D5481" i="5"/>
  <c r="D5477" i="5"/>
  <c r="D5473" i="5"/>
  <c r="D5469" i="5"/>
  <c r="D5465" i="5"/>
  <c r="D5461" i="5"/>
  <c r="D5457" i="5"/>
  <c r="D5453" i="5"/>
  <c r="D5449" i="5"/>
  <c r="D5439" i="5"/>
  <c r="D5433" i="5"/>
  <c r="D5427" i="5"/>
  <c r="D5421" i="5"/>
  <c r="D5415" i="5"/>
  <c r="D5409" i="5"/>
  <c r="D5403" i="5"/>
  <c r="D5397" i="5"/>
  <c r="D5391" i="5"/>
  <c r="D5385" i="5"/>
  <c r="D5379" i="5"/>
  <c r="D5373" i="5"/>
  <c r="D5367" i="5"/>
  <c r="D5361" i="5"/>
  <c r="D5355" i="5"/>
  <c r="D5349" i="5"/>
  <c r="D5343" i="5"/>
  <c r="D5337" i="5"/>
  <c r="D5331" i="5"/>
  <c r="D5325" i="5"/>
  <c r="B5957" i="5"/>
  <c r="B5953" i="5"/>
  <c r="B5949" i="5"/>
  <c r="B5941" i="5"/>
  <c r="B5937" i="5"/>
  <c r="B5933" i="5"/>
  <c r="B5929" i="5"/>
  <c r="B5925" i="5"/>
  <c r="B5921" i="5"/>
  <c r="B5917" i="5"/>
  <c r="B5913" i="5"/>
  <c r="B5909" i="5"/>
  <c r="B5905" i="5"/>
  <c r="B5901" i="5"/>
  <c r="B5897" i="5"/>
  <c r="B5893" i="5"/>
  <c r="B5889" i="5"/>
  <c r="B5885" i="5"/>
  <c r="B5881" i="5"/>
  <c r="B5877" i="5"/>
  <c r="B5873" i="5"/>
  <c r="B5869" i="5"/>
  <c r="B5865" i="5"/>
  <c r="B5861" i="5"/>
  <c r="B5857" i="5"/>
  <c r="B5853" i="5"/>
  <c r="B5849" i="5"/>
  <c r="B5845" i="5"/>
  <c r="B5841" i="5"/>
  <c r="B5837" i="5"/>
  <c r="B5833" i="5"/>
  <c r="B5829" i="5"/>
  <c r="B5825" i="5"/>
  <c r="B5821" i="5"/>
  <c r="B5817" i="5"/>
  <c r="B5813" i="5"/>
  <c r="B5809" i="5"/>
  <c r="B5805" i="5"/>
  <c r="B5801" i="5"/>
  <c r="B5797" i="5"/>
  <c r="B5793" i="5"/>
  <c r="B5789" i="5"/>
  <c r="B5785" i="5"/>
  <c r="B5781" i="5"/>
  <c r="B5777" i="5"/>
  <c r="B5773" i="5"/>
  <c r="B5769" i="5"/>
  <c r="B5765" i="5"/>
  <c r="B5761" i="5"/>
  <c r="B5757" i="5"/>
  <c r="B5753" i="5"/>
  <c r="B5749" i="5"/>
  <c r="B5745" i="5"/>
  <c r="B5741" i="5"/>
  <c r="B5737" i="5"/>
  <c r="B5733" i="5"/>
  <c r="B5729" i="5"/>
  <c r="B5725" i="5"/>
  <c r="B5721" i="5"/>
  <c r="B5717" i="5"/>
  <c r="B5713" i="5"/>
  <c r="B5709" i="5"/>
  <c r="B5705" i="5"/>
  <c r="B5701" i="5"/>
  <c r="B5697" i="5"/>
  <c r="B5693" i="5"/>
  <c r="B5689" i="5"/>
  <c r="B5685" i="5"/>
  <c r="B5681" i="5"/>
  <c r="B5677" i="5"/>
  <c r="B5673" i="5"/>
  <c r="B5669" i="5"/>
  <c r="B5665" i="5"/>
  <c r="B5661" i="5"/>
  <c r="B5657" i="5"/>
  <c r="B5653" i="5"/>
  <c r="B5649" i="5"/>
  <c r="B5641" i="5"/>
  <c r="B5637" i="5"/>
  <c r="B5633" i="5"/>
  <c r="B5629" i="5"/>
  <c r="B5625" i="5"/>
  <c r="B5621" i="5"/>
  <c r="B5617" i="5"/>
  <c r="B5613" i="5"/>
  <c r="B5609" i="5"/>
  <c r="B5605" i="5"/>
  <c r="B5601" i="5"/>
  <c r="B5597" i="5"/>
  <c r="B5593" i="5"/>
  <c r="B5589" i="5"/>
  <c r="B5585" i="5"/>
  <c r="B5581" i="5"/>
  <c r="B5577" i="5"/>
  <c r="B5573" i="5"/>
  <c r="B5569" i="5"/>
  <c r="B5565" i="5"/>
  <c r="B5561" i="5"/>
  <c r="B5557" i="5"/>
  <c r="B5553" i="5"/>
  <c r="B5549" i="5"/>
  <c r="B5545" i="5"/>
  <c r="B5541" i="5"/>
  <c r="B5537" i="5"/>
  <c r="B5533" i="5"/>
  <c r="B5529" i="5"/>
  <c r="B5525" i="5"/>
  <c r="B5521" i="5"/>
  <c r="B5517" i="5"/>
  <c r="B5513" i="5"/>
  <c r="B5509" i="5"/>
  <c r="B5505" i="5"/>
  <c r="B5501" i="5"/>
  <c r="B5497" i="5"/>
  <c r="B5493" i="5"/>
  <c r="B5489" i="5"/>
  <c r="B5485" i="5"/>
  <c r="B5481" i="5"/>
  <c r="B5477" i="5"/>
  <c r="B5473" i="5"/>
  <c r="B5469" i="5"/>
  <c r="B5465" i="5"/>
  <c r="B5453" i="5"/>
  <c r="B5461" i="5"/>
  <c r="B5457" i="5"/>
  <c r="D5445" i="5"/>
  <c r="B5449" i="5"/>
  <c r="B5445" i="5"/>
  <c r="G5960" i="5"/>
  <c r="G5958" i="5"/>
  <c r="G5956" i="5"/>
  <c r="G5954" i="5"/>
  <c r="G5952" i="5"/>
  <c r="G5950" i="5"/>
  <c r="G5942" i="5"/>
  <c r="G5941" i="5"/>
  <c r="G5940" i="5"/>
  <c r="G5938" i="5"/>
  <c r="G5936" i="5"/>
  <c r="G5934" i="5"/>
  <c r="G5932" i="5"/>
  <c r="G5930" i="5"/>
  <c r="G5928" i="5"/>
  <c r="G5926" i="5"/>
  <c r="G5924" i="5"/>
  <c r="G5922" i="5"/>
  <c r="G5920" i="5"/>
  <c r="G5918" i="5"/>
  <c r="G5916" i="5"/>
  <c r="G5914" i="5"/>
  <c r="G5912" i="5"/>
  <c r="G5910" i="5"/>
  <c r="G5908" i="5"/>
  <c r="G5906" i="5"/>
  <c r="G5904" i="5"/>
  <c r="G5902" i="5"/>
  <c r="G5900" i="5"/>
  <c r="G5898" i="5"/>
  <c r="G5897" i="5"/>
  <c r="G5896" i="5"/>
  <c r="G5894" i="5"/>
  <c r="G5892" i="5"/>
  <c r="G5890" i="5"/>
  <c r="G5889" i="5"/>
  <c r="G5888" i="5"/>
  <c r="G5886" i="5"/>
  <c r="G5884" i="5"/>
  <c r="G5882" i="5"/>
  <c r="G5880" i="5"/>
  <c r="G5878" i="5"/>
  <c r="G5876" i="5"/>
  <c r="G5874" i="5"/>
  <c r="G5872" i="5"/>
  <c r="G5870" i="5"/>
  <c r="G5868" i="5"/>
  <c r="G5866" i="5"/>
  <c r="G5864" i="5"/>
  <c r="G5862" i="5"/>
  <c r="G5861" i="5"/>
  <c r="G5860" i="5"/>
  <c r="G5858" i="5"/>
  <c r="G5857" i="5"/>
  <c r="G5856" i="5"/>
  <c r="G5854" i="5"/>
  <c r="G5853" i="5"/>
  <c r="G5852" i="5"/>
  <c r="G5850" i="5"/>
  <c r="G5849" i="5"/>
  <c r="G5848" i="5"/>
  <c r="G5846" i="5"/>
  <c r="G5845" i="5"/>
  <c r="G5844" i="5"/>
  <c r="G5842" i="5"/>
  <c r="G5841" i="5"/>
  <c r="G5840" i="5"/>
  <c r="G5838" i="5"/>
  <c r="G5837" i="5"/>
  <c r="G5836" i="5"/>
  <c r="G5834" i="5"/>
  <c r="G5833" i="5"/>
  <c r="G5832" i="5"/>
  <c r="G5830" i="5"/>
  <c r="G5828" i="5"/>
  <c r="G5826" i="5"/>
  <c r="G5824" i="5"/>
  <c r="G5822" i="5"/>
  <c r="G5820" i="5"/>
  <c r="G5818" i="5"/>
  <c r="G5816" i="5"/>
  <c r="G5814" i="5"/>
  <c r="G5812" i="5"/>
  <c r="G5810" i="5"/>
  <c r="G5808" i="5"/>
  <c r="G5806" i="5"/>
  <c r="G5804" i="5"/>
  <c r="G5802" i="5"/>
  <c r="G5800" i="5"/>
  <c r="G5798" i="5"/>
  <c r="G5796" i="5"/>
  <c r="G5794" i="5"/>
  <c r="G5792" i="5"/>
  <c r="G5790" i="5"/>
  <c r="G5788" i="5"/>
  <c r="G5786" i="5"/>
  <c r="G5784" i="5"/>
  <c r="G5782" i="5"/>
  <c r="G5780" i="5"/>
  <c r="G5778" i="5"/>
  <c r="G5776" i="5"/>
  <c r="G5774" i="5"/>
  <c r="G5772" i="5"/>
  <c r="G5770" i="5"/>
  <c r="G5768" i="5"/>
  <c r="G5766" i="5"/>
  <c r="G5764" i="5"/>
  <c r="G5762" i="5"/>
  <c r="G5760" i="5"/>
  <c r="G5758" i="5"/>
  <c r="G5756" i="5"/>
  <c r="G5754" i="5"/>
  <c r="G5752" i="5"/>
  <c r="G5750" i="5"/>
  <c r="G5748" i="5"/>
  <c r="G5746" i="5"/>
  <c r="G5744" i="5"/>
  <c r="G5742" i="5"/>
  <c r="G5740" i="5"/>
  <c r="G5738" i="5"/>
  <c r="G5736" i="5"/>
  <c r="G5734" i="5"/>
  <c r="G5732" i="5"/>
  <c r="G5730" i="5"/>
  <c r="G5728" i="5"/>
  <c r="G5726" i="5"/>
  <c r="G5724" i="5"/>
  <c r="G5722" i="5"/>
  <c r="G5720" i="5"/>
  <c r="G5718" i="5"/>
  <c r="G5716" i="5"/>
  <c r="G5714" i="5"/>
  <c r="G5712" i="5"/>
  <c r="G5710" i="5"/>
  <c r="G5708" i="5"/>
  <c r="G5706" i="5"/>
  <c r="G5704" i="5"/>
  <c r="G5702" i="5"/>
  <c r="G5700" i="5"/>
  <c r="G5698" i="5"/>
  <c r="G5696" i="5"/>
  <c r="G5694" i="5"/>
  <c r="G5692" i="5"/>
  <c r="G5690" i="5"/>
  <c r="G5688" i="5"/>
  <c r="G5686" i="5"/>
  <c r="G5684" i="5"/>
  <c r="G5682" i="5"/>
  <c r="G5680" i="5"/>
  <c r="G5678" i="5"/>
  <c r="G5676" i="5"/>
  <c r="G5674" i="5"/>
  <c r="G5672" i="5"/>
  <c r="G5670" i="5"/>
  <c r="G5668" i="5"/>
  <c r="G5666" i="5"/>
  <c r="G5664" i="5"/>
  <c r="G5662" i="5"/>
  <c r="G5660" i="5"/>
  <c r="G5658" i="5"/>
  <c r="G5656" i="5"/>
  <c r="G5654" i="5"/>
  <c r="G5652" i="5"/>
  <c r="G5650" i="5"/>
  <c r="G5648" i="5"/>
  <c r="G5646" i="5"/>
  <c r="B5645" i="5"/>
  <c r="G5644" i="5"/>
  <c r="G5642" i="5"/>
  <c r="G5640" i="5"/>
  <c r="G5638" i="5"/>
  <c r="G5636" i="5"/>
  <c r="G5634" i="5"/>
  <c r="G5632" i="5"/>
  <c r="G5630" i="5"/>
  <c r="G5628" i="5"/>
  <c r="G5626" i="5"/>
  <c r="G5624" i="5"/>
  <c r="G5622" i="5"/>
  <c r="G5620" i="5"/>
  <c r="G5618" i="5"/>
  <c r="G5616" i="5"/>
  <c r="G5614" i="5"/>
  <c r="G5612" i="5"/>
  <c r="G5610" i="5"/>
  <c r="G5608" i="5"/>
  <c r="G5606" i="5"/>
  <c r="G5604" i="5"/>
  <c r="G5602" i="5"/>
  <c r="G5600" i="5"/>
  <c r="G5598" i="5"/>
  <c r="G5596" i="5"/>
  <c r="G5594" i="5"/>
  <c r="G5592" i="5"/>
  <c r="G5590" i="5"/>
  <c r="G5588" i="5"/>
  <c r="G5586" i="5"/>
  <c r="G5584" i="5"/>
  <c r="G5582" i="5"/>
  <c r="G5580" i="5"/>
  <c r="G5578" i="5"/>
  <c r="G5576" i="5"/>
  <c r="G5574" i="5"/>
  <c r="G5573" i="5"/>
  <c r="G5572" i="5"/>
  <c r="G5570" i="5"/>
  <c r="G5569" i="5"/>
  <c r="G5568" i="5"/>
  <c r="G5566" i="5"/>
  <c r="G5565" i="5"/>
  <c r="G5564" i="5"/>
  <c r="G5562" i="5"/>
  <c r="G5561" i="5"/>
  <c r="G5560" i="5"/>
  <c r="G5558" i="5"/>
  <c r="G5557" i="5"/>
  <c r="G5556" i="5"/>
  <c r="G5554" i="5"/>
  <c r="G5553" i="5"/>
  <c r="G5552" i="5"/>
  <c r="G5550" i="5"/>
  <c r="G5549" i="5"/>
  <c r="G5548" i="5"/>
  <c r="G5546" i="5"/>
  <c r="G5545" i="5"/>
  <c r="G5544" i="5"/>
  <c r="G5542" i="5"/>
  <c r="G5540" i="5"/>
  <c r="G5538" i="5"/>
  <c r="G5536" i="5"/>
  <c r="G5534" i="5"/>
  <c r="G5532" i="5"/>
  <c r="G5530" i="5"/>
  <c r="G5528" i="5"/>
  <c r="G5526" i="5"/>
  <c r="G5524" i="5"/>
  <c r="G5522" i="5"/>
  <c r="G5520" i="5"/>
  <c r="G5518" i="5"/>
  <c r="G5516" i="5"/>
  <c r="G5514" i="5"/>
  <c r="G5512" i="5"/>
  <c r="G5510" i="5"/>
  <c r="G5508" i="5"/>
  <c r="G5506" i="5"/>
  <c r="G5504" i="5"/>
  <c r="G5502" i="5"/>
  <c r="G5500" i="5"/>
  <c r="G5498" i="5"/>
  <c r="G5496" i="5"/>
  <c r="G5494" i="5"/>
  <c r="G5492" i="5"/>
  <c r="G5490" i="5"/>
  <c r="G5488" i="5"/>
  <c r="G5486" i="5"/>
  <c r="G5484" i="5"/>
  <c r="G5482" i="5"/>
  <c r="G5480" i="5"/>
  <c r="G5478" i="5"/>
  <c r="G5476" i="5"/>
  <c r="G5474" i="5"/>
  <c r="G5472" i="5"/>
  <c r="G5470" i="5"/>
  <c r="G5468" i="5"/>
  <c r="G5466" i="5"/>
  <c r="G5464" i="5"/>
  <c r="G5462" i="5"/>
  <c r="G5460" i="5"/>
  <c r="G5458" i="5"/>
  <c r="G5456" i="5"/>
  <c r="G5454" i="5"/>
  <c r="G5452" i="5"/>
  <c r="G5450" i="5"/>
  <c r="G5448" i="5"/>
  <c r="G5446" i="5"/>
  <c r="G5444" i="5"/>
  <c r="G5443" i="5"/>
  <c r="G5442" i="5"/>
  <c r="G5440" i="5"/>
  <c r="B5439" i="5"/>
  <c r="G5438" i="5"/>
  <c r="G5437" i="5"/>
  <c r="G5436" i="5"/>
  <c r="G5434" i="5"/>
  <c r="B5433" i="5"/>
  <c r="G5432" i="5"/>
  <c r="G5431" i="5"/>
  <c r="G5430" i="5"/>
  <c r="G5428" i="5"/>
  <c r="B5427" i="5"/>
  <c r="G5426" i="5"/>
  <c r="G5425" i="5"/>
  <c r="G5424" i="5"/>
  <c r="G5422" i="5"/>
  <c r="B5421" i="5"/>
  <c r="G5420" i="5"/>
  <c r="G5419" i="5"/>
  <c r="G5418" i="5"/>
  <c r="G5416" i="5"/>
  <c r="B5415" i="5"/>
  <c r="G5414" i="5"/>
  <c r="G5413" i="5"/>
  <c r="G5412" i="5"/>
  <c r="G5410" i="5"/>
  <c r="B5409" i="5"/>
  <c r="G5408" i="5"/>
  <c r="G5407" i="5"/>
  <c r="G5406" i="5"/>
  <c r="G5404" i="5"/>
  <c r="B5403" i="5"/>
  <c r="G5402" i="5"/>
  <c r="G5401" i="5"/>
  <c r="G5400" i="5"/>
  <c r="G5398" i="5"/>
  <c r="B5397" i="5"/>
  <c r="G5396" i="5"/>
  <c r="G5395" i="5"/>
  <c r="G5394" i="5"/>
  <c r="G5392" i="5"/>
  <c r="B5391" i="5"/>
  <c r="G5390" i="5"/>
  <c r="G5389" i="5"/>
  <c r="G5388" i="5"/>
  <c r="G5386" i="5"/>
  <c r="B5385" i="5"/>
  <c r="G5384" i="5"/>
  <c r="G5383" i="5"/>
  <c r="G5382" i="5"/>
  <c r="G5380" i="5"/>
  <c r="B5379" i="5"/>
  <c r="G5378" i="5"/>
  <c r="G5377" i="5"/>
  <c r="G5376" i="5"/>
  <c r="G5374" i="5"/>
  <c r="B5373" i="5"/>
  <c r="G5372" i="5"/>
  <c r="G5371" i="5"/>
  <c r="G5370" i="5"/>
  <c r="G5368" i="5"/>
  <c r="B5367" i="5"/>
  <c r="G5366" i="5"/>
  <c r="G5365" i="5"/>
  <c r="G5364" i="5"/>
  <c r="G5362" i="5"/>
  <c r="B5361" i="5"/>
  <c r="G5360" i="5"/>
  <c r="G5359" i="5"/>
  <c r="G5358" i="5"/>
  <c r="G5356" i="5"/>
  <c r="B5355" i="5"/>
  <c r="G5354" i="5"/>
  <c r="G5353" i="5"/>
  <c r="G5352" i="5"/>
  <c r="G5350" i="5"/>
  <c r="B5349" i="5"/>
  <c r="G5348" i="5"/>
  <c r="G5347" i="5"/>
  <c r="G5346" i="5"/>
  <c r="G5344" i="5"/>
  <c r="B5343" i="5"/>
  <c r="G5342" i="5"/>
  <c r="G5341" i="5"/>
  <c r="G5340" i="5"/>
  <c r="G5338" i="5"/>
  <c r="B5337" i="5"/>
  <c r="G5336" i="5"/>
  <c r="G5335" i="5"/>
  <c r="G5334" i="5"/>
  <c r="G5332" i="5"/>
  <c r="B5331" i="5"/>
  <c r="G5330" i="5"/>
  <c r="G5329" i="5"/>
  <c r="G5328" i="5"/>
  <c r="G5326" i="5"/>
  <c r="B5325" i="5"/>
  <c r="G2726" i="5"/>
  <c r="G2724" i="5"/>
  <c r="B2723" i="5"/>
  <c r="G2718" i="5"/>
  <c r="G2716" i="5"/>
  <c r="D2715" i="5"/>
  <c r="B2715" i="5"/>
  <c r="E5441" i="5"/>
  <c r="E5435" i="5"/>
  <c r="E5429" i="5"/>
  <c r="E5423" i="5"/>
  <c r="E5417" i="5"/>
  <c r="E5411" i="5"/>
  <c r="E5405" i="5"/>
  <c r="E5399" i="5"/>
  <c r="E5393" i="5"/>
  <c r="E5387" i="5"/>
  <c r="E5381" i="5"/>
  <c r="E5375" i="5"/>
  <c r="E5369" i="5"/>
  <c r="E5363" i="5"/>
  <c r="E5357" i="5"/>
  <c r="E5351" i="5"/>
  <c r="E5345" i="5"/>
  <c r="E5339" i="5"/>
  <c r="E5333" i="5"/>
  <c r="E5327" i="5"/>
  <c r="G5501" i="5" l="1"/>
  <c r="G5473" i="5"/>
  <c r="G5505" i="5"/>
  <c r="G5533" i="5"/>
  <c r="G5453" i="5"/>
  <c r="G5485" i="5"/>
  <c r="G5517" i="5"/>
  <c r="G5509" i="5"/>
  <c r="G5541" i="5"/>
  <c r="G5497" i="5"/>
  <c r="G5477" i="5"/>
  <c r="G5325" i="5"/>
  <c r="G5373" i="5"/>
  <c r="G5397" i="5"/>
  <c r="G5457" i="5"/>
  <c r="G5489" i="5"/>
  <c r="G5521" i="5"/>
  <c r="G5481" i="5"/>
  <c r="G5513" i="5"/>
  <c r="G5529" i="5"/>
  <c r="G5469" i="5"/>
  <c r="G5461" i="5"/>
  <c r="G5493" i="5"/>
  <c r="G5525" i="5"/>
  <c r="G5593" i="5"/>
  <c r="G5597" i="5"/>
  <c r="G5865" i="5"/>
  <c r="G5877" i="5"/>
  <c r="G5881" i="5"/>
  <c r="G5893" i="5"/>
  <c r="G5901" i="5"/>
  <c r="G5905" i="5"/>
  <c r="G5909" i="5"/>
  <c r="G5929" i="5"/>
  <c r="G5933" i="5"/>
  <c r="G5937" i="5"/>
  <c r="G5949" i="5"/>
  <c r="G5957" i="5"/>
  <c r="G2715" i="5"/>
  <c r="G5355" i="5"/>
  <c r="G5379" i="5"/>
  <c r="G5403" i="5"/>
  <c r="G5625" i="5"/>
  <c r="G5773" i="5"/>
  <c r="G5805" i="5"/>
  <c r="G5637" i="5"/>
  <c r="G5657" i="5"/>
  <c r="G5701" i="5"/>
  <c r="G5733" i="5"/>
  <c r="G5765" i="5"/>
  <c r="G5797" i="5"/>
  <c r="G5681" i="5"/>
  <c r="G5713" i="5"/>
  <c r="G5745" i="5"/>
  <c r="G5777" i="5"/>
  <c r="G5809" i="5"/>
  <c r="G5609" i="5"/>
  <c r="G5661" i="5"/>
  <c r="G5757" i="5"/>
  <c r="G5789" i="5"/>
  <c r="G5821" i="5"/>
  <c r="G5673" i="5"/>
  <c r="G5705" i="5"/>
  <c r="G5769" i="5"/>
  <c r="G5693" i="5"/>
  <c r="G2723" i="5"/>
  <c r="G5361" i="5"/>
  <c r="G5385" i="5"/>
  <c r="G5409" i="5"/>
  <c r="G5433" i="5"/>
  <c r="G5601" i="5"/>
  <c r="G5633" i="5"/>
  <c r="G5685" i="5"/>
  <c r="G5717" i="5"/>
  <c r="G5781" i="5"/>
  <c r="G5813" i="5"/>
  <c r="G5613" i="5"/>
  <c r="G5665" i="5"/>
  <c r="G5761" i="5"/>
  <c r="G5793" i="5"/>
  <c r="G5825" i="5"/>
  <c r="G5605" i="5"/>
  <c r="G5689" i="5"/>
  <c r="G5753" i="5"/>
  <c r="G5785" i="5"/>
  <c r="G5817" i="5"/>
  <c r="G5913" i="5"/>
  <c r="G5829" i="5"/>
  <c r="G5953" i="5"/>
  <c r="G5749" i="5"/>
  <c r="G5921" i="5"/>
  <c r="G5873" i="5"/>
  <c r="G5885" i="5"/>
  <c r="G5869" i="5"/>
  <c r="G5917" i="5"/>
  <c r="G5721" i="5"/>
  <c r="G5925" i="5"/>
  <c r="G5725" i="5"/>
  <c r="G5581" i="5"/>
  <c r="G5697" i="5"/>
  <c r="G5801" i="5"/>
  <c r="G5649" i="5"/>
  <c r="G5645" i="5"/>
  <c r="G5653" i="5"/>
  <c r="G5677" i="5"/>
  <c r="G5617" i="5"/>
  <c r="G5669" i="5"/>
  <c r="G5641" i="5"/>
  <c r="G5709" i="5"/>
  <c r="G5741" i="5"/>
  <c r="G5737" i="5"/>
  <c r="G5621" i="5"/>
  <c r="G5585" i="5"/>
  <c r="G5729" i="5"/>
  <c r="G5629" i="5"/>
  <c r="G5589" i="5"/>
  <c r="G5537" i="5"/>
  <c r="G5427" i="5"/>
  <c r="G5391" i="5"/>
  <c r="G5439" i="5"/>
  <c r="G5449" i="5"/>
  <c r="G5445" i="5"/>
  <c r="G5465" i="5"/>
  <c r="G5415" i="5"/>
  <c r="G5343" i="5"/>
  <c r="G5577" i="5"/>
  <c r="G5349" i="5"/>
  <c r="G5337" i="5"/>
  <c r="G5367" i="5"/>
  <c r="G5421" i="5"/>
  <c r="G5331" i="5"/>
  <c r="D2719" i="5"/>
  <c r="G2720" i="5"/>
  <c r="G2719" i="5"/>
  <c r="G2722" i="5"/>
  <c r="B2719" i="5"/>
  <c r="G5174" i="5"/>
  <c r="G5169" i="5"/>
  <c r="G5167" i="5"/>
  <c r="G5163" i="5"/>
  <c r="G5161" i="5"/>
  <c r="G5157" i="5"/>
  <c r="G5149" i="5"/>
  <c r="G5145" i="5"/>
  <c r="G5144" i="5" l="1"/>
  <c r="G5156" i="5"/>
  <c r="G5162" i="5"/>
  <c r="G5168" i="5"/>
  <c r="G5155" i="5"/>
  <c r="G5151" i="5"/>
  <c r="G5150" i="5" l="1"/>
  <c r="D4326" i="5" l="1"/>
  <c r="D4338" i="5"/>
  <c r="G2454" i="5" l="1"/>
  <c r="G2452" i="5"/>
  <c r="G2451" i="5"/>
  <c r="D2451" i="5"/>
  <c r="B2451" i="5"/>
  <c r="G2450" i="5"/>
  <c r="G2448" i="5"/>
  <c r="G2447" i="5"/>
  <c r="D2447" i="5"/>
  <c r="B2447" i="5"/>
  <c r="G2654" i="5" l="1"/>
  <c r="G2652" i="5"/>
  <c r="G2651" i="5"/>
  <c r="D2651" i="5"/>
  <c r="B2651" i="5"/>
  <c r="G2646" i="5"/>
  <c r="G2644" i="5"/>
  <c r="G2643" i="5"/>
  <c r="D2643" i="5"/>
  <c r="B2643" i="5"/>
  <c r="D2547" i="5"/>
  <c r="G2554" i="5" l="1"/>
  <c r="G2552" i="5"/>
  <c r="G2551" i="5"/>
  <c r="D2551" i="5"/>
  <c r="B2551" i="5"/>
  <c r="G2550" i="5"/>
  <c r="G2548" i="5"/>
  <c r="B2547" i="5"/>
  <c r="G2546" i="5"/>
  <c r="G2544" i="5"/>
  <c r="D2543" i="5"/>
  <c r="B2543" i="5"/>
  <c r="G2542" i="5"/>
  <c r="G2540" i="5"/>
  <c r="G2539" i="5"/>
  <c r="D2539" i="5"/>
  <c r="B2539" i="5"/>
  <c r="G2538" i="5"/>
  <c r="G2536" i="5"/>
  <c r="D2535" i="5"/>
  <c r="B2535" i="5"/>
  <c r="G2534" i="5"/>
  <c r="G2532" i="5"/>
  <c r="G2531" i="5"/>
  <c r="D2531" i="5"/>
  <c r="B2531" i="5"/>
  <c r="G2530" i="5"/>
  <c r="G2528" i="5"/>
  <c r="G2527" i="5"/>
  <c r="D2527" i="5"/>
  <c r="B2527" i="5"/>
  <c r="G2526" i="5"/>
  <c r="G2524" i="5"/>
  <c r="D2523" i="5"/>
  <c r="B2523" i="5"/>
  <c r="G2522" i="5"/>
  <c r="G2520" i="5"/>
  <c r="G2519" i="5"/>
  <c r="D2519" i="5"/>
  <c r="B2519" i="5"/>
  <c r="G2518" i="5"/>
  <c r="G2516" i="5"/>
  <c r="G2515" i="5"/>
  <c r="D2515" i="5"/>
  <c r="B2515" i="5"/>
  <c r="G2514" i="5"/>
  <c r="G2512" i="5"/>
  <c r="G2511" i="5"/>
  <c r="D2511" i="5"/>
  <c r="B2511" i="5"/>
  <c r="G2510" i="5"/>
  <c r="G2508" i="5"/>
  <c r="G2507" i="5"/>
  <c r="D2507" i="5"/>
  <c r="B2507" i="5"/>
  <c r="G2506" i="5"/>
  <c r="G2504" i="5"/>
  <c r="G2503" i="5"/>
  <c r="D2503" i="5"/>
  <c r="B2503" i="5"/>
  <c r="G2502" i="5"/>
  <c r="G2500" i="5"/>
  <c r="G2499" i="5"/>
  <c r="D2499" i="5"/>
  <c r="B2499" i="5"/>
  <c r="G2498" i="5"/>
  <c r="G2496" i="5"/>
  <c r="G2495" i="5"/>
  <c r="D2495" i="5"/>
  <c r="B2495" i="5"/>
  <c r="G2494" i="5"/>
  <c r="G2492" i="5"/>
  <c r="D2491" i="5"/>
  <c r="B2491" i="5"/>
  <c r="G2490" i="5"/>
  <c r="G2488" i="5"/>
  <c r="G2487" i="5"/>
  <c r="D2487" i="5"/>
  <c r="B2487" i="5"/>
  <c r="G2486" i="5"/>
  <c r="G2484" i="5"/>
  <c r="D2483" i="5"/>
  <c r="B2483" i="5"/>
  <c r="G2482" i="5"/>
  <c r="G2480" i="5"/>
  <c r="G2479" i="5"/>
  <c r="D2479" i="5"/>
  <c r="B2479" i="5"/>
  <c r="G2478" i="5"/>
  <c r="G2476" i="5"/>
  <c r="G2475" i="5"/>
  <c r="D2475" i="5"/>
  <c r="B2475" i="5"/>
  <c r="G2474" i="5"/>
  <c r="G2472" i="5"/>
  <c r="D2471" i="5"/>
  <c r="B2471" i="5"/>
  <c r="G2470" i="5"/>
  <c r="G2468" i="5"/>
  <c r="G2467" i="5"/>
  <c r="D2467" i="5"/>
  <c r="B2467" i="5"/>
  <c r="G2466" i="5"/>
  <c r="G2464" i="5"/>
  <c r="G2463" i="5"/>
  <c r="D2463" i="5"/>
  <c r="B2463" i="5"/>
  <c r="G2462" i="5"/>
  <c r="G2460" i="5"/>
  <c r="G2459" i="5"/>
  <c r="D2459" i="5"/>
  <c r="B2459" i="5"/>
  <c r="E2457" i="5"/>
  <c r="G2458" i="5"/>
  <c r="G2456" i="5"/>
  <c r="G2455" i="5"/>
  <c r="D2455" i="5"/>
  <c r="B2455" i="5"/>
  <c r="G2446" i="5"/>
  <c r="G2444" i="5"/>
  <c r="G2443" i="5"/>
  <c r="D2443" i="5"/>
  <c r="B2443" i="5"/>
  <c r="G2442" i="5"/>
  <c r="G2440" i="5"/>
  <c r="G2439" i="5"/>
  <c r="D2439" i="5"/>
  <c r="B2439" i="5"/>
  <c r="G2434" i="5"/>
  <c r="G2432" i="5"/>
  <c r="G2431" i="5"/>
  <c r="D2431" i="5"/>
  <c r="B2431" i="5"/>
  <c r="G2430" i="5"/>
  <c r="G2428" i="5"/>
  <c r="G2427" i="5"/>
  <c r="D2427" i="5"/>
  <c r="B2427" i="5"/>
  <c r="G2426" i="5"/>
  <c r="G2424" i="5"/>
  <c r="D2423" i="5"/>
  <c r="B2423" i="5"/>
  <c r="G2422" i="5"/>
  <c r="G2420" i="5"/>
  <c r="G2419" i="5"/>
  <c r="D2419" i="5"/>
  <c r="B2419" i="5"/>
  <c r="G2418" i="5"/>
  <c r="G2416" i="5"/>
  <c r="G2415" i="5"/>
  <c r="D2415" i="5"/>
  <c r="B2415" i="5"/>
  <c r="G2414" i="5"/>
  <c r="G2412" i="5"/>
  <c r="D2411" i="5"/>
  <c r="B2411" i="5"/>
  <c r="G2406" i="5"/>
  <c r="G2404" i="5"/>
  <c r="G2403" i="5"/>
  <c r="D2403" i="5"/>
  <c r="B2403" i="5"/>
  <c r="G2402" i="5"/>
  <c r="G2400" i="5"/>
  <c r="G2399" i="5"/>
  <c r="D2399" i="5"/>
  <c r="B2399" i="5"/>
  <c r="G2547" i="5" l="1"/>
  <c r="G2543" i="5"/>
  <c r="G2535" i="5"/>
  <c r="G2523" i="5"/>
  <c r="G2483" i="5"/>
  <c r="G2491" i="5"/>
  <c r="G2471" i="5"/>
  <c r="G2423" i="5"/>
  <c r="G2411" i="5"/>
  <c r="D5132" i="5"/>
  <c r="D5126" i="5"/>
  <c r="B5132" i="5" l="1"/>
  <c r="G5137" i="5"/>
  <c r="G5133" i="5"/>
  <c r="G5131" i="5"/>
  <c r="G5127" i="5"/>
  <c r="B5126" i="5"/>
  <c r="G5132" i="5" l="1"/>
  <c r="G5126" i="5"/>
  <c r="D5105" i="5" l="1"/>
  <c r="G5112" i="5" l="1"/>
  <c r="G5106" i="5"/>
  <c r="G5105" i="5"/>
  <c r="B5105" i="5"/>
  <c r="D434" i="6"/>
  <c r="D433" i="6"/>
  <c r="F436" i="6"/>
  <c r="F427" i="6"/>
  <c r="F437" i="6" l="1"/>
  <c r="F428" i="6"/>
  <c r="F435" i="6"/>
  <c r="E4084" i="5"/>
  <c r="D345" i="6" l="1"/>
  <c r="D423" i="6"/>
  <c r="D422" i="6"/>
  <c r="D410" i="6"/>
  <c r="D411" i="6"/>
  <c r="F416" i="6" l="1"/>
  <c r="F426" i="6" l="1"/>
  <c r="F424" i="6"/>
  <c r="F415" i="6"/>
  <c r="F425" i="6"/>
  <c r="E721" i="5" l="1"/>
  <c r="E720" i="5"/>
  <c r="E719" i="5"/>
  <c r="E718" i="5"/>
  <c r="E717" i="5"/>
  <c r="E716" i="5"/>
  <c r="E467" i="5" l="1"/>
  <c r="E457" i="5"/>
  <c r="F404" i="6"/>
  <c r="F402" i="6"/>
  <c r="F393" i="6"/>
  <c r="F373" i="6"/>
  <c r="F372" i="6"/>
  <c r="F364" i="6"/>
  <c r="F60" i="7"/>
  <c r="F46" i="7"/>
  <c r="F37" i="7"/>
  <c r="F36" i="7"/>
  <c r="G5125" i="5"/>
  <c r="G5120" i="5"/>
  <c r="G5118" i="5"/>
  <c r="G5114" i="5"/>
  <c r="G5104" i="5"/>
  <c r="G5094" i="5"/>
  <c r="D5093" i="5"/>
  <c r="B5093" i="5"/>
  <c r="G5113" i="5" l="1"/>
  <c r="G5119" i="5"/>
  <c r="G5093" i="5"/>
  <c r="F412" i="6"/>
  <c r="F414" i="6"/>
  <c r="F413" i="6"/>
  <c r="F394" i="6"/>
  <c r="F403" i="6"/>
  <c r="F392" i="6"/>
  <c r="F70" i="7"/>
  <c r="F384" i="6"/>
  <c r="F385" i="6"/>
  <c r="F68" i="7"/>
  <c r="F69" i="7"/>
  <c r="F59" i="7"/>
  <c r="F71" i="7"/>
  <c r="F379" i="6"/>
  <c r="F378" i="6"/>
  <c r="F55" i="7"/>
  <c r="F57" i="7"/>
  <c r="F56" i="7"/>
  <c r="F58" i="7"/>
  <c r="F47" i="7"/>
  <c r="F45" i="7"/>
  <c r="F371" i="6"/>
  <c r="F365" i="6"/>
  <c r="G5092" i="5"/>
  <c r="G5087" i="5"/>
  <c r="G5085" i="5"/>
  <c r="G5081" i="5"/>
  <c r="D5080" i="5"/>
  <c r="B5080" i="5"/>
  <c r="G5079" i="5"/>
  <c r="G5075" i="5"/>
  <c r="D5074" i="5"/>
  <c r="B5074" i="5"/>
  <c r="G5073" i="5"/>
  <c r="G5068" i="5"/>
  <c r="D5067" i="5"/>
  <c r="B5067" i="5"/>
  <c r="G5066" i="5"/>
  <c r="G5061" i="5"/>
  <c r="D5060" i="5"/>
  <c r="B5060" i="5"/>
  <c r="E5054" i="5"/>
  <c r="E5057" i="5"/>
  <c r="G5059" i="5"/>
  <c r="G5051" i="5"/>
  <c r="D5050" i="5"/>
  <c r="B5050" i="5"/>
  <c r="E5047" i="5"/>
  <c r="E5044" i="5"/>
  <c r="G5049" i="5"/>
  <c r="G5041" i="5"/>
  <c r="D5040" i="5"/>
  <c r="B5040" i="5"/>
  <c r="G5086" i="5" l="1"/>
  <c r="G5050" i="5"/>
  <c r="G5060" i="5"/>
  <c r="G5067" i="5"/>
  <c r="G5074" i="5"/>
  <c r="G5080" i="5"/>
  <c r="G5040" i="5"/>
  <c r="E5038" i="5"/>
  <c r="E5037" i="5"/>
  <c r="E5036" i="5"/>
  <c r="E5034" i="5"/>
  <c r="G5039" i="5"/>
  <c r="G5033" i="5"/>
  <c r="D5032" i="5"/>
  <c r="B5032" i="5"/>
  <c r="G5032" i="5" l="1"/>
  <c r="E5030" i="5"/>
  <c r="E5029" i="5"/>
  <c r="E5028" i="5"/>
  <c r="E5026" i="5"/>
  <c r="G5031" i="5" l="1"/>
  <c r="G5025" i="5"/>
  <c r="D5024" i="5"/>
  <c r="B5024" i="5"/>
  <c r="G5023" i="5"/>
  <c r="G5017" i="5"/>
  <c r="D5016" i="5"/>
  <c r="B5016" i="5"/>
  <c r="G5024" i="5" l="1"/>
  <c r="G5016" i="5"/>
  <c r="E5014" i="5"/>
  <c r="E5013" i="5"/>
  <c r="G5015" i="5"/>
  <c r="G5011" i="5"/>
  <c r="D5010" i="5"/>
  <c r="B5010" i="5"/>
  <c r="E5008" i="5"/>
  <c r="E5007" i="5"/>
  <c r="E5006" i="5"/>
  <c r="E5004" i="5"/>
  <c r="G5009" i="5"/>
  <c r="G5003" i="5"/>
  <c r="D5002" i="5"/>
  <c r="B5002" i="5"/>
  <c r="E4994" i="5"/>
  <c r="E4993" i="5"/>
  <c r="E4992" i="5"/>
  <c r="E4990" i="5"/>
  <c r="E4986" i="5"/>
  <c r="E4985" i="5"/>
  <c r="E4984" i="5"/>
  <c r="E4982" i="5"/>
  <c r="E4978" i="5"/>
  <c r="E4977" i="5"/>
  <c r="E4976" i="5"/>
  <c r="E4974" i="5"/>
  <c r="E4970" i="5"/>
  <c r="E4969" i="5"/>
  <c r="E4968" i="5"/>
  <c r="E4966" i="5"/>
  <c r="G5001" i="5"/>
  <c r="G4997" i="5"/>
  <c r="D4996" i="5"/>
  <c r="B4996" i="5"/>
  <c r="G4995" i="5"/>
  <c r="G4989" i="5"/>
  <c r="D4988" i="5"/>
  <c r="B4988" i="5"/>
  <c r="G4987" i="5"/>
  <c r="G4981" i="5"/>
  <c r="D4980" i="5"/>
  <c r="B4980" i="5"/>
  <c r="G4979" i="5"/>
  <c r="G4973" i="5"/>
  <c r="D4972" i="5"/>
  <c r="B4972" i="5"/>
  <c r="G4971" i="5"/>
  <c r="G4965" i="5"/>
  <c r="D4964" i="5"/>
  <c r="B4964" i="5"/>
  <c r="G4963" i="5"/>
  <c r="G4959" i="5"/>
  <c r="D4958" i="5"/>
  <c r="B4958" i="5"/>
  <c r="G4958" i="5" l="1"/>
  <c r="G4964" i="5"/>
  <c r="G4980" i="5"/>
  <c r="G4988" i="5"/>
  <c r="G4996" i="5"/>
  <c r="G5002" i="5"/>
  <c r="G4972" i="5"/>
  <c r="G5010" i="5"/>
  <c r="E4950" i="5"/>
  <c r="E4952" i="5"/>
  <c r="E4951" i="5"/>
  <c r="E4949" i="5"/>
  <c r="G4957" i="5"/>
  <c r="G4948" i="5"/>
  <c r="D4947" i="5"/>
  <c r="B4947" i="5"/>
  <c r="E4943" i="5"/>
  <c r="E4942" i="5"/>
  <c r="E4945" i="5"/>
  <c r="E4944" i="5"/>
  <c r="G4946" i="5"/>
  <c r="G4941" i="5"/>
  <c r="D4940" i="5"/>
  <c r="B4940" i="5"/>
  <c r="G4940" i="5" l="1"/>
  <c r="G4947" i="5"/>
  <c r="E4891" i="5"/>
  <c r="E2244" i="5" l="1"/>
  <c r="E2242" i="5"/>
  <c r="E2241" i="5"/>
  <c r="E2245" i="5"/>
  <c r="E2300" i="5"/>
  <c r="E2299" i="5"/>
  <c r="E2290" i="5"/>
  <c r="E2289" i="5"/>
  <c r="E2280" i="5"/>
  <c r="E2279" i="5"/>
  <c r="E2270" i="5"/>
  <c r="E2269" i="5"/>
  <c r="E2260" i="5"/>
  <c r="E2259" i="5"/>
  <c r="E2301" i="5"/>
  <c r="E2291" i="5"/>
  <c r="E2281" i="5"/>
  <c r="E2271" i="5"/>
  <c r="E2261" i="5"/>
  <c r="E4836" i="5"/>
  <c r="E4835" i="5"/>
  <c r="E4830" i="5"/>
  <c r="E4829" i="5"/>
  <c r="E4824" i="5"/>
  <c r="E4823" i="5"/>
  <c r="E4818" i="5"/>
  <c r="E4817" i="5"/>
  <c r="G4939" i="5" l="1"/>
  <c r="G4934" i="5"/>
  <c r="D4933" i="5"/>
  <c r="B4933" i="5"/>
  <c r="G4932" i="5"/>
  <c r="G4928" i="5"/>
  <c r="D4927" i="5"/>
  <c r="B4927" i="5"/>
  <c r="G4926" i="5"/>
  <c r="G4922" i="5"/>
  <c r="D4921" i="5"/>
  <c r="B4921" i="5"/>
  <c r="G4920" i="5"/>
  <c r="G4916" i="5"/>
  <c r="D4915" i="5"/>
  <c r="B4915" i="5"/>
  <c r="G4914" i="5"/>
  <c r="G4910" i="5"/>
  <c r="D4909" i="5"/>
  <c r="B4909" i="5"/>
  <c r="G4921" i="5" l="1"/>
  <c r="G4933" i="5"/>
  <c r="G4909" i="5"/>
  <c r="G4927" i="5"/>
  <c r="G4915" i="5"/>
  <c r="E4907" i="5"/>
  <c r="G4908" i="5"/>
  <c r="G4902" i="5"/>
  <c r="G4901" i="5"/>
  <c r="D4901" i="5"/>
  <c r="B4901" i="5"/>
  <c r="G4900" i="5"/>
  <c r="G4895" i="5"/>
  <c r="D4894" i="5"/>
  <c r="B4894" i="5"/>
  <c r="G4893" i="5"/>
  <c r="G4888" i="5"/>
  <c r="G4887" i="5"/>
  <c r="D4887" i="5"/>
  <c r="B4887" i="5"/>
  <c r="E4843" i="5"/>
  <c r="E4842" i="5"/>
  <c r="E4841" i="5"/>
  <c r="E4840" i="5"/>
  <c r="G4886" i="5"/>
  <c r="G4881" i="5"/>
  <c r="D4880" i="5"/>
  <c r="B4880" i="5"/>
  <c r="G4879" i="5"/>
  <c r="G4875" i="5"/>
  <c r="D4874" i="5"/>
  <c r="B4874" i="5"/>
  <c r="G4873" i="5"/>
  <c r="G4869" i="5"/>
  <c r="D4868" i="5"/>
  <c r="B4868" i="5"/>
  <c r="G4867" i="5"/>
  <c r="G4865" i="5"/>
  <c r="G4864" i="5"/>
  <c r="D4864" i="5"/>
  <c r="B4864" i="5"/>
  <c r="G4857" i="5"/>
  <c r="G4851" i="5"/>
  <c r="D4850" i="5"/>
  <c r="B4850" i="5"/>
  <c r="G4863" i="5"/>
  <c r="G4859" i="5"/>
  <c r="D4858" i="5"/>
  <c r="B4858" i="5"/>
  <c r="G4849" i="5"/>
  <c r="G4846" i="5"/>
  <c r="G4845" i="5"/>
  <c r="D4845" i="5"/>
  <c r="B4845" i="5"/>
  <c r="G4844" i="5"/>
  <c r="G4839" i="5"/>
  <c r="G4838" i="5"/>
  <c r="D4838" i="5"/>
  <c r="B4838" i="5"/>
  <c r="G4837" i="5"/>
  <c r="G4833" i="5"/>
  <c r="D4832" i="5"/>
  <c r="B4832" i="5"/>
  <c r="G4831" i="5"/>
  <c r="G4827" i="5"/>
  <c r="D4826" i="5"/>
  <c r="B4826" i="5"/>
  <c r="G4825" i="5"/>
  <c r="G4821" i="5"/>
  <c r="D4820" i="5"/>
  <c r="B4820" i="5"/>
  <c r="G4819" i="5"/>
  <c r="G4815" i="5"/>
  <c r="D4814" i="5"/>
  <c r="B4814" i="5"/>
  <c r="G4813" i="5"/>
  <c r="G4810" i="5"/>
  <c r="G4809" i="5"/>
  <c r="D4809" i="5"/>
  <c r="B4809" i="5"/>
  <c r="E4807" i="5"/>
  <c r="E4806" i="5"/>
  <c r="E4800" i="5"/>
  <c r="E4799" i="5"/>
  <c r="G4808" i="5"/>
  <c r="G4803" i="5"/>
  <c r="D4802" i="5"/>
  <c r="B4802" i="5"/>
  <c r="G4801" i="5"/>
  <c r="G4796" i="5"/>
  <c r="D4795" i="5"/>
  <c r="B4795" i="5"/>
  <c r="B4788" i="5"/>
  <c r="D4788" i="5"/>
  <c r="G4789" i="5"/>
  <c r="G4794" i="5"/>
  <c r="G4787" i="5"/>
  <c r="G4782" i="5"/>
  <c r="D4781" i="5"/>
  <c r="B4781" i="5"/>
  <c r="G4780" i="5"/>
  <c r="G4777" i="5"/>
  <c r="G4776" i="5"/>
  <c r="D4776" i="5"/>
  <c r="B4776" i="5"/>
  <c r="G4775" i="5"/>
  <c r="G4770" i="5"/>
  <c r="D4769" i="5"/>
  <c r="B4769" i="5"/>
  <c r="G4768" i="5"/>
  <c r="G4763" i="5"/>
  <c r="D4762" i="5"/>
  <c r="B4762" i="5"/>
  <c r="G4761" i="5"/>
  <c r="G4756" i="5"/>
  <c r="D4755" i="5"/>
  <c r="B4755" i="5"/>
  <c r="G4820" i="5" l="1"/>
  <c r="G4826" i="5"/>
  <c r="G4788" i="5"/>
  <c r="G4868" i="5"/>
  <c r="G4781" i="5"/>
  <c r="G4894" i="5"/>
  <c r="G4814" i="5"/>
  <c r="G4880" i="5"/>
  <c r="G4769" i="5"/>
  <c r="G4832" i="5"/>
  <c r="G4795" i="5"/>
  <c r="G4850" i="5"/>
  <c r="G4874" i="5"/>
  <c r="G4858" i="5"/>
  <c r="G4762" i="5"/>
  <c r="G4755" i="5"/>
  <c r="G4802" i="5"/>
  <c r="G4754" i="5" l="1"/>
  <c r="G4749" i="5"/>
  <c r="D4748" i="5"/>
  <c r="B4748" i="5"/>
  <c r="G4747" i="5"/>
  <c r="G4742" i="5"/>
  <c r="D4741" i="5"/>
  <c r="B4741" i="5"/>
  <c r="G4740" i="5"/>
  <c r="G4734" i="5"/>
  <c r="D4733" i="5"/>
  <c r="B4733" i="5"/>
  <c r="G4733" i="5" l="1"/>
  <c r="G4741" i="5"/>
  <c r="G4748" i="5"/>
  <c r="G4732" i="5"/>
  <c r="G4724" i="5"/>
  <c r="D4723" i="5"/>
  <c r="B4723" i="5"/>
  <c r="G4723" i="5" l="1"/>
  <c r="G4722" i="5"/>
  <c r="G4716" i="5"/>
  <c r="G4715" i="5"/>
  <c r="D4715" i="5"/>
  <c r="B4715" i="5"/>
  <c r="G4714" i="5"/>
  <c r="G4708" i="5"/>
  <c r="G4707" i="5"/>
  <c r="D4707" i="5"/>
  <c r="B4707" i="5"/>
  <c r="G4706" i="5"/>
  <c r="G4700" i="5"/>
  <c r="G4699" i="5"/>
  <c r="D4699" i="5"/>
  <c r="B4699" i="5"/>
  <c r="G4698" i="5"/>
  <c r="G4692" i="5"/>
  <c r="G4691" i="5"/>
  <c r="D4691" i="5"/>
  <c r="B4691" i="5"/>
  <c r="G4690" i="5"/>
  <c r="G4684" i="5"/>
  <c r="G4683" i="5"/>
  <c r="D4683" i="5"/>
  <c r="B4683" i="5"/>
  <c r="G4682" i="5"/>
  <c r="G4676" i="5"/>
  <c r="G4675" i="5"/>
  <c r="D4675" i="5"/>
  <c r="B4675" i="5"/>
  <c r="G4674" i="5"/>
  <c r="G4668" i="5"/>
  <c r="G4667" i="5"/>
  <c r="D4667" i="5"/>
  <c r="B4667" i="5"/>
  <c r="G4665" i="5"/>
  <c r="G4660" i="5"/>
  <c r="G4659" i="5"/>
  <c r="D4659" i="5"/>
  <c r="B4659" i="5"/>
  <c r="G4658" i="5"/>
  <c r="G4655" i="5"/>
  <c r="G4654" i="5"/>
  <c r="D4654" i="5"/>
  <c r="B4654" i="5"/>
  <c r="G4653" i="5"/>
  <c r="G4650" i="5"/>
  <c r="G4649" i="5"/>
  <c r="D4649" i="5"/>
  <c r="B4649" i="5"/>
  <c r="E712" i="5"/>
  <c r="E711" i="5"/>
  <c r="E710" i="5"/>
  <c r="E709" i="5"/>
  <c r="E708" i="5"/>
  <c r="E707" i="5"/>
  <c r="E706" i="5"/>
  <c r="E684" i="5"/>
  <c r="E683" i="5"/>
  <c r="E682" i="5"/>
  <c r="E681" i="5"/>
  <c r="E680" i="5"/>
  <c r="E679" i="5"/>
  <c r="E678" i="5"/>
  <c r="E3733" i="5"/>
  <c r="E3729" i="5"/>
  <c r="E3730" i="5"/>
  <c r="E3731" i="5"/>
  <c r="E3732" i="5"/>
  <c r="E3735" i="5"/>
  <c r="E3734" i="5"/>
  <c r="G4648" i="5"/>
  <c r="G4645" i="5"/>
  <c r="G4644" i="5"/>
  <c r="D4644" i="5"/>
  <c r="B4644" i="5"/>
  <c r="E4639" i="5"/>
  <c r="E4638" i="5"/>
  <c r="E4636" i="5"/>
  <c r="G4635" i="5"/>
  <c r="E4629" i="5"/>
  <c r="E4628" i="5"/>
  <c r="E4626" i="5"/>
  <c r="G4643" i="5"/>
  <c r="D4634" i="5"/>
  <c r="B4634" i="5"/>
  <c r="G4633" i="5"/>
  <c r="G4625" i="5"/>
  <c r="D4624" i="5"/>
  <c r="B4624" i="5"/>
  <c r="G4624" i="5" l="1"/>
  <c r="G4634" i="5"/>
  <c r="E4379" i="5" l="1"/>
  <c r="E4370" i="5"/>
  <c r="E4046" i="5"/>
  <c r="E3990" i="5" l="1"/>
  <c r="E527" i="5" l="1"/>
  <c r="E4617" i="5" l="1"/>
  <c r="G2757" i="5" l="1"/>
  <c r="G2754" i="5"/>
  <c r="D2753" i="5"/>
  <c r="B2753" i="5"/>
  <c r="G2752" i="5"/>
  <c r="G2749" i="5"/>
  <c r="D2748" i="5"/>
  <c r="B2748" i="5"/>
  <c r="G2753" i="5" l="1"/>
  <c r="G2748" i="5"/>
  <c r="A1" i="9" l="1"/>
  <c r="D4619" i="5"/>
  <c r="B4619" i="5"/>
  <c r="D4608" i="5"/>
  <c r="B4608" i="5"/>
  <c r="D4600" i="5"/>
  <c r="B4600" i="5"/>
  <c r="D4594" i="5"/>
  <c r="B4594" i="5"/>
  <c r="D4582" i="5"/>
  <c r="B4582" i="5"/>
  <c r="D4573" i="5"/>
  <c r="B4573" i="5"/>
  <c r="D4565" i="5"/>
  <c r="B4565" i="5"/>
  <c r="D4559" i="5"/>
  <c r="B4559" i="5"/>
  <c r="D4549" i="5"/>
  <c r="B4549" i="5"/>
  <c r="D4541" i="5"/>
  <c r="B4541" i="5"/>
  <c r="D4533" i="5"/>
  <c r="B4533" i="5"/>
  <c r="D4527" i="5"/>
  <c r="B4527" i="5"/>
  <c r="D4519" i="5"/>
  <c r="B4519" i="5"/>
  <c r="D4507" i="5"/>
  <c r="B4507" i="5"/>
  <c r="D4501" i="5"/>
  <c r="B4501" i="5"/>
  <c r="D4493" i="5"/>
  <c r="B4493" i="5"/>
  <c r="D4484" i="5"/>
  <c r="B4484" i="5"/>
  <c r="D4476" i="5"/>
  <c r="B4476" i="5"/>
  <c r="D4457" i="5"/>
  <c r="B4457" i="5"/>
  <c r="D4445" i="5"/>
  <c r="B4445" i="5"/>
  <c r="D4433" i="5"/>
  <c r="B4433" i="5"/>
  <c r="D4422" i="5"/>
  <c r="B4422" i="5"/>
  <c r="D4414" i="5"/>
  <c r="B4414" i="5"/>
  <c r="D4408" i="5"/>
  <c r="B4408" i="5"/>
  <c r="D4403" i="5"/>
  <c r="B4403" i="5"/>
  <c r="D4398" i="5"/>
  <c r="B4398" i="5"/>
  <c r="D4392" i="5"/>
  <c r="B4392" i="5"/>
  <c r="D4384" i="5"/>
  <c r="B4384" i="5"/>
  <c r="D4376" i="5"/>
  <c r="B4376" i="5"/>
  <c r="D4356" i="5"/>
  <c r="B4356" i="5"/>
  <c r="D4350" i="5"/>
  <c r="B4350" i="5"/>
  <c r="B4338" i="5"/>
  <c r="B4326" i="5"/>
  <c r="D4318" i="5"/>
  <c r="B4318" i="5"/>
  <c r="D4308" i="5"/>
  <c r="B4308" i="5"/>
  <c r="D4298" i="5"/>
  <c r="B4298" i="5"/>
  <c r="D4288" i="5"/>
  <c r="B4288" i="5"/>
  <c r="D4280" i="5"/>
  <c r="B4280" i="5"/>
  <c r="D4272" i="5"/>
  <c r="B4272" i="5"/>
  <c r="D4262" i="5"/>
  <c r="B4262" i="5"/>
  <c r="D4253" i="5"/>
  <c r="B4253" i="5"/>
  <c r="D4244" i="5"/>
  <c r="B4244" i="5"/>
  <c r="D4235" i="5"/>
  <c r="B4235" i="5"/>
  <c r="D4226" i="5"/>
  <c r="B4226" i="5"/>
  <c r="D4209" i="5"/>
  <c r="B4209" i="5"/>
  <c r="D4182" i="5"/>
  <c r="B4182" i="5"/>
  <c r="D4166" i="5"/>
  <c r="B4166" i="5"/>
  <c r="D4147" i="5"/>
  <c r="B4147" i="5"/>
  <c r="D4142" i="5"/>
  <c r="B4142" i="5"/>
  <c r="D4135" i="5"/>
  <c r="B4135" i="5"/>
  <c r="D4128" i="5"/>
  <c r="B4128" i="5"/>
  <c r="D4122" i="5"/>
  <c r="B4122" i="5"/>
  <c r="D4114" i="5"/>
  <c r="B4114" i="5"/>
  <c r="D4108" i="5"/>
  <c r="B4108" i="5"/>
  <c r="D4098" i="5"/>
  <c r="B4098" i="5"/>
  <c r="D4092" i="5"/>
  <c r="B4092" i="5"/>
  <c r="D4086" i="5"/>
  <c r="B4086" i="5"/>
  <c r="D4080" i="5"/>
  <c r="B4080" i="5"/>
  <c r="D4073" i="5"/>
  <c r="B4073" i="5"/>
  <c r="D4066" i="5"/>
  <c r="B4066" i="5"/>
  <c r="D4062" i="5"/>
  <c r="B4062" i="5"/>
  <c r="D4051" i="5"/>
  <c r="B4051" i="5"/>
  <c r="D4040" i="5"/>
  <c r="B4040" i="5"/>
  <c r="D4033" i="5"/>
  <c r="B4033" i="5"/>
  <c r="D4023" i="5"/>
  <c r="B4023" i="5"/>
  <c r="D4015" i="5"/>
  <c r="B4015" i="5"/>
  <c r="D4007" i="5"/>
  <c r="B4007" i="5"/>
  <c r="D3999" i="5"/>
  <c r="B3999" i="5"/>
  <c r="D3992" i="5"/>
  <c r="B3992" i="5"/>
  <c r="D3988" i="5"/>
  <c r="B3988" i="5"/>
  <c r="D3982" i="5"/>
  <c r="B3982" i="5"/>
  <c r="D3975" i="5"/>
  <c r="B3975" i="5"/>
  <c r="D3969" i="5"/>
  <c r="B3969" i="5"/>
  <c r="D3963" i="5"/>
  <c r="B3963" i="5"/>
  <c r="D3954" i="5"/>
  <c r="B3954" i="5"/>
  <c r="D3945" i="5"/>
  <c r="B3945" i="5"/>
  <c r="D3936" i="5"/>
  <c r="B3936" i="5"/>
  <c r="D3927" i="5"/>
  <c r="B3927" i="5"/>
  <c r="D3918" i="5"/>
  <c r="B3918" i="5"/>
  <c r="D3909" i="5"/>
  <c r="B3909" i="5"/>
  <c r="D3905" i="5"/>
  <c r="B3905" i="5"/>
  <c r="D3901" i="5"/>
  <c r="B3901" i="5"/>
  <c r="D3896" i="5"/>
  <c r="B3896" i="5"/>
  <c r="D3883" i="5"/>
  <c r="B3883" i="5"/>
  <c r="D3862" i="5"/>
  <c r="B3862" i="5"/>
  <c r="D3855" i="5"/>
  <c r="B3855" i="5"/>
  <c r="D3845" i="5"/>
  <c r="B3845" i="5"/>
  <c r="D3829" i="5"/>
  <c r="B3829" i="5"/>
  <c r="D3822" i="5"/>
  <c r="B3822" i="5"/>
  <c r="D3816" i="5"/>
  <c r="B3816" i="5"/>
  <c r="D3781" i="5"/>
  <c r="B3781" i="5"/>
  <c r="D3766" i="5"/>
  <c r="B3766" i="5"/>
  <c r="D3754" i="5"/>
  <c r="B3754" i="5"/>
  <c r="D3746" i="5"/>
  <c r="B3746" i="5"/>
  <c r="D3737" i="5"/>
  <c r="B3737" i="5"/>
  <c r="D3727" i="5"/>
  <c r="B3727" i="5"/>
  <c r="D3716" i="5"/>
  <c r="B3716" i="5"/>
  <c r="D3711" i="5"/>
  <c r="B3711" i="5"/>
  <c r="D3705" i="5"/>
  <c r="B3705" i="5"/>
  <c r="D3684" i="5"/>
  <c r="B3684" i="5"/>
  <c r="D3675" i="5"/>
  <c r="B3675" i="5"/>
  <c r="D3670" i="5"/>
  <c r="B3670" i="5"/>
  <c r="D3660" i="5"/>
  <c r="B3660" i="5"/>
  <c r="D3645" i="5"/>
  <c r="B3645" i="5"/>
  <c r="D3574" i="5"/>
  <c r="B3574" i="5"/>
  <c r="D3569" i="5"/>
  <c r="B3569" i="5"/>
  <c r="D3546" i="5"/>
  <c r="B3546" i="5"/>
  <c r="D3540" i="5"/>
  <c r="B3540" i="5"/>
  <c r="D3532" i="5"/>
  <c r="B3532" i="5"/>
  <c r="D3527" i="5"/>
  <c r="B3527" i="5"/>
  <c r="D3520" i="5"/>
  <c r="B3520" i="5"/>
  <c r="D3512" i="5"/>
  <c r="B3512" i="5"/>
  <c r="D3506" i="5"/>
  <c r="B3506" i="5"/>
  <c r="D3500" i="5"/>
  <c r="B3500" i="5"/>
  <c r="D3484" i="5"/>
  <c r="B3484" i="5"/>
  <c r="D3477" i="5"/>
  <c r="B3477" i="5"/>
  <c r="D3465" i="5"/>
  <c r="B3465" i="5"/>
  <c r="D3448" i="5"/>
  <c r="B3448" i="5"/>
  <c r="D3440" i="5"/>
  <c r="B3440" i="5"/>
  <c r="D3423" i="5"/>
  <c r="B3423" i="5"/>
  <c r="D3415" i="5"/>
  <c r="B3415" i="5"/>
  <c r="D3404" i="5"/>
  <c r="B3404" i="5"/>
  <c r="D3394" i="5"/>
  <c r="B3394" i="5"/>
  <c r="D3390" i="5"/>
  <c r="B3390" i="5"/>
  <c r="D3386" i="5"/>
  <c r="B3386" i="5"/>
  <c r="D3381" i="5"/>
  <c r="B3381" i="5"/>
  <c r="D3376" i="5"/>
  <c r="B3376" i="5"/>
  <c r="D3371" i="5"/>
  <c r="B3371" i="5"/>
  <c r="D3364" i="5"/>
  <c r="B3364" i="5"/>
  <c r="D3357" i="5"/>
  <c r="B3357" i="5"/>
  <c r="D3346" i="5"/>
  <c r="B3346" i="5"/>
  <c r="D3342" i="5"/>
  <c r="B3342" i="5"/>
  <c r="D3337" i="5"/>
  <c r="B3337" i="5"/>
  <c r="D3333" i="5"/>
  <c r="B3333" i="5"/>
  <c r="D3329" i="5"/>
  <c r="B3329" i="5"/>
  <c r="D3315" i="5"/>
  <c r="B3315" i="5"/>
  <c r="D3308" i="5"/>
  <c r="B3308" i="5"/>
  <c r="D3303" i="5"/>
  <c r="B3303" i="5"/>
  <c r="D3294" i="5"/>
  <c r="B3294" i="5"/>
  <c r="D3288" i="5"/>
  <c r="B3288" i="5"/>
  <c r="D3282" i="5"/>
  <c r="B3282" i="5"/>
  <c r="D3268" i="5"/>
  <c r="B3268" i="5"/>
  <c r="D3254" i="5"/>
  <c r="B3254" i="5"/>
  <c r="D3226" i="5"/>
  <c r="B3226" i="5"/>
  <c r="D3219" i="5"/>
  <c r="B3219" i="5"/>
  <c r="D3212" i="5"/>
  <c r="B3212" i="5"/>
  <c r="D3207" i="5"/>
  <c r="B3207" i="5"/>
  <c r="D3197" i="5"/>
  <c r="B3197" i="5"/>
  <c r="D3191" i="5"/>
  <c r="B3191" i="5"/>
  <c r="D3185" i="5"/>
  <c r="B3185" i="5"/>
  <c r="D3179" i="5"/>
  <c r="B3179" i="5"/>
  <c r="D3150" i="5"/>
  <c r="B3150" i="5"/>
  <c r="D3128" i="5"/>
  <c r="B3128" i="5"/>
  <c r="D3123" i="5"/>
  <c r="B3123" i="5"/>
  <c r="D3117" i="5"/>
  <c r="B3117" i="5"/>
  <c r="D3112" i="5"/>
  <c r="B3112" i="5"/>
  <c r="D3106" i="5"/>
  <c r="B3106" i="5"/>
  <c r="D3100" i="5"/>
  <c r="B3100" i="5"/>
  <c r="D3094" i="5"/>
  <c r="B3094" i="5"/>
  <c r="D3088" i="5"/>
  <c r="B3088" i="5"/>
  <c r="D3083" i="5"/>
  <c r="B3083" i="5"/>
  <c r="D3078" i="5"/>
  <c r="B3078" i="5"/>
  <c r="D3073" i="5"/>
  <c r="B3073" i="5"/>
  <c r="D3068" i="5"/>
  <c r="B3068" i="5"/>
  <c r="D3063" i="5"/>
  <c r="B3063" i="5"/>
  <c r="D3058" i="5"/>
  <c r="B3058" i="5"/>
  <c r="D3053" i="5"/>
  <c r="B3053" i="5"/>
  <c r="D3048" i="5"/>
  <c r="B3048" i="5"/>
  <c r="D3043" i="5"/>
  <c r="B3043" i="5"/>
  <c r="D3030" i="5"/>
  <c r="B3030" i="5"/>
  <c r="D3022" i="5"/>
  <c r="B3022" i="5"/>
  <c r="D3018" i="5"/>
  <c r="B3018" i="5"/>
  <c r="D3010" i="5"/>
  <c r="B3010" i="5"/>
  <c r="D3005" i="5"/>
  <c r="B3005" i="5"/>
  <c r="D2997" i="5"/>
  <c r="B2997" i="5"/>
  <c r="D2992" i="5"/>
  <c r="B2992" i="5"/>
  <c r="D2987" i="5"/>
  <c r="B2987" i="5"/>
  <c r="D2982" i="5"/>
  <c r="B2982" i="5"/>
  <c r="D2977" i="5"/>
  <c r="B2977" i="5"/>
  <c r="D2972" i="5"/>
  <c r="B2972" i="5"/>
  <c r="D2967" i="5"/>
  <c r="B2967" i="5"/>
  <c r="D2962" i="5"/>
  <c r="B2962" i="5"/>
  <c r="D2957" i="5"/>
  <c r="B2957" i="5"/>
  <c r="D2952" i="5"/>
  <c r="B2952" i="5"/>
  <c r="D2942" i="5"/>
  <c r="B2942" i="5"/>
  <c r="D2937" i="5"/>
  <c r="B2937" i="5"/>
  <c r="D2932" i="5"/>
  <c r="B2932" i="5"/>
  <c r="D2927" i="5"/>
  <c r="B2927" i="5"/>
  <c r="D2922" i="5"/>
  <c r="B2922" i="5"/>
  <c r="D2917" i="5"/>
  <c r="B2917" i="5"/>
  <c r="D2912" i="5"/>
  <c r="B2912" i="5"/>
  <c r="D2907" i="5"/>
  <c r="B2907" i="5"/>
  <c r="D2902" i="5"/>
  <c r="B2902" i="5"/>
  <c r="D2897" i="5"/>
  <c r="B2897" i="5"/>
  <c r="D2892" i="5"/>
  <c r="B2892" i="5"/>
  <c r="D2884" i="5"/>
  <c r="B2884" i="5"/>
  <c r="D2876" i="5"/>
  <c r="B2876" i="5"/>
  <c r="D2868" i="5"/>
  <c r="B2868" i="5"/>
  <c r="D2860" i="5"/>
  <c r="B2860" i="5"/>
  <c r="D2852" i="5"/>
  <c r="B2852" i="5"/>
  <c r="D2847" i="5"/>
  <c r="B2847" i="5"/>
  <c r="D2842" i="5"/>
  <c r="B2842" i="5"/>
  <c r="D2837" i="5"/>
  <c r="B2837" i="5"/>
  <c r="D2830" i="5"/>
  <c r="B2830" i="5"/>
  <c r="D2825" i="5"/>
  <c r="B2825" i="5"/>
  <c r="D2820" i="5"/>
  <c r="B2820" i="5"/>
  <c r="D2815" i="5"/>
  <c r="B2815" i="5"/>
  <c r="D2810" i="5"/>
  <c r="B2810" i="5"/>
  <c r="D2805" i="5"/>
  <c r="B2805" i="5"/>
  <c r="D2800" i="5"/>
  <c r="B2800" i="5"/>
  <c r="D2795" i="5"/>
  <c r="B2795" i="5"/>
  <c r="D2790" i="5"/>
  <c r="B2790" i="5"/>
  <c r="D2783" i="5"/>
  <c r="B2783" i="5"/>
  <c r="D2778" i="5"/>
  <c r="B2778" i="5"/>
  <c r="D2773" i="5"/>
  <c r="B2773" i="5"/>
  <c r="D2768" i="5"/>
  <c r="B2768" i="5"/>
  <c r="D2758" i="5"/>
  <c r="B2758" i="5"/>
  <c r="D2742" i="5"/>
  <c r="B2742" i="5"/>
  <c r="D2732" i="5"/>
  <c r="B2732" i="5"/>
  <c r="D2727" i="5"/>
  <c r="B2727" i="5"/>
  <c r="D2709" i="5"/>
  <c r="B2709" i="5"/>
  <c r="D2703" i="5"/>
  <c r="B2703" i="5"/>
  <c r="D2697" i="5"/>
  <c r="B2697" i="5"/>
  <c r="D2691" i="5"/>
  <c r="B2691" i="5"/>
  <c r="D2685" i="5"/>
  <c r="B2685" i="5"/>
  <c r="D2679" i="5"/>
  <c r="B2679" i="5"/>
  <c r="D2673" i="5"/>
  <c r="B2673" i="5"/>
  <c r="D2667" i="5"/>
  <c r="B2667" i="5"/>
  <c r="D2661" i="5"/>
  <c r="B2661" i="5"/>
  <c r="D2655" i="5"/>
  <c r="B2655" i="5"/>
  <c r="D2647" i="5"/>
  <c r="B2647" i="5"/>
  <c r="D2639" i="5"/>
  <c r="B2639" i="5"/>
  <c r="D2635" i="5"/>
  <c r="B2635" i="5"/>
  <c r="D2631" i="5"/>
  <c r="B2631" i="5"/>
  <c r="D2627" i="5"/>
  <c r="B2627" i="5"/>
  <c r="D2623" i="5"/>
  <c r="B2623" i="5"/>
  <c r="D2619" i="5"/>
  <c r="B2619" i="5"/>
  <c r="D2615" i="5"/>
  <c r="B2615" i="5"/>
  <c r="D2611" i="5"/>
  <c r="B2611" i="5"/>
  <c r="D2607" i="5"/>
  <c r="B2607" i="5"/>
  <c r="D2603" i="5"/>
  <c r="B2603" i="5"/>
  <c r="D2599" i="5"/>
  <c r="B2599" i="5"/>
  <c r="D2591" i="5"/>
  <c r="B2591" i="5"/>
  <c r="D2583" i="5"/>
  <c r="B2583" i="5"/>
  <c r="D2575" i="5"/>
  <c r="B2575" i="5"/>
  <c r="D2571" i="5"/>
  <c r="B2571" i="5"/>
  <c r="D2567" i="5"/>
  <c r="B2567" i="5"/>
  <c r="D2563" i="5"/>
  <c r="B2563" i="5"/>
  <c r="D2559" i="5"/>
  <c r="B2559" i="5"/>
  <c r="D2555" i="5"/>
  <c r="B2555" i="5"/>
  <c r="D2435" i="5"/>
  <c r="B2435" i="5"/>
  <c r="D2407" i="5"/>
  <c r="B2407" i="5"/>
  <c r="D2393" i="5"/>
  <c r="B2393" i="5"/>
  <c r="D2386" i="5"/>
  <c r="B2386" i="5"/>
  <c r="D2380" i="5"/>
  <c r="B2380" i="5"/>
  <c r="D2373" i="5"/>
  <c r="B2373" i="5"/>
  <c r="D2365" i="5"/>
  <c r="B2365" i="5"/>
  <c r="D2359" i="5"/>
  <c r="B2359" i="5"/>
  <c r="D2354" i="5"/>
  <c r="B2354" i="5"/>
  <c r="D2349" i="5"/>
  <c r="B2349" i="5"/>
  <c r="D2344" i="5"/>
  <c r="B2344" i="5"/>
  <c r="D2338" i="5"/>
  <c r="B2338" i="5"/>
  <c r="D2332" i="5"/>
  <c r="B2332" i="5"/>
  <c r="D2326" i="5"/>
  <c r="B2326" i="5"/>
  <c r="D2320" i="5"/>
  <c r="B2320" i="5"/>
  <c r="D2313" i="5"/>
  <c r="B2313" i="5"/>
  <c r="D2306" i="5"/>
  <c r="B2306" i="5"/>
  <c r="D2296" i="5"/>
  <c r="B2296" i="5"/>
  <c r="D2286" i="5"/>
  <c r="B2286" i="5"/>
  <c r="D2276" i="5"/>
  <c r="B2276" i="5"/>
  <c r="D2266" i="5"/>
  <c r="B2266" i="5"/>
  <c r="D2256" i="5"/>
  <c r="B2256" i="5"/>
  <c r="D2250" i="5"/>
  <c r="B2250" i="5"/>
  <c r="D2236" i="5"/>
  <c r="B2236" i="5"/>
  <c r="D2230" i="5"/>
  <c r="B2230" i="5"/>
  <c r="D2224" i="5"/>
  <c r="B2224" i="5"/>
  <c r="D2218" i="5"/>
  <c r="B2218" i="5"/>
  <c r="D2211" i="5"/>
  <c r="B2211" i="5"/>
  <c r="D2206" i="5"/>
  <c r="B2206" i="5"/>
  <c r="D2198" i="5"/>
  <c r="B2198" i="5"/>
  <c r="D2190" i="5"/>
  <c r="B2190" i="5"/>
  <c r="D2182" i="5"/>
  <c r="B2182" i="5"/>
  <c r="D2174" i="5"/>
  <c r="B2174" i="5"/>
  <c r="D2166" i="5"/>
  <c r="B2166" i="5"/>
  <c r="D2158" i="5"/>
  <c r="B2158" i="5"/>
  <c r="D2150" i="5"/>
  <c r="B2150" i="5"/>
  <c r="D2142" i="5"/>
  <c r="B2142" i="5"/>
  <c r="D2136" i="5"/>
  <c r="B2136" i="5"/>
  <c r="D2130" i="5"/>
  <c r="B2130" i="5"/>
  <c r="D2124" i="5"/>
  <c r="B2124" i="5"/>
  <c r="D2118" i="5"/>
  <c r="B2118" i="5"/>
  <c r="D2112" i="5"/>
  <c r="B2112" i="5"/>
  <c r="D2104" i="5"/>
  <c r="B2104" i="5"/>
  <c r="D2096" i="5"/>
  <c r="B2096" i="5"/>
  <c r="D2088" i="5"/>
  <c r="B2088" i="5"/>
  <c r="D2080" i="5"/>
  <c r="B2080" i="5"/>
  <c r="D2072" i="5"/>
  <c r="B2072" i="5"/>
  <c r="D2064" i="5"/>
  <c r="B2064" i="5"/>
  <c r="D2056" i="5"/>
  <c r="B2056" i="5"/>
  <c r="D2048" i="5"/>
  <c r="B2048" i="5"/>
  <c r="D2040" i="5"/>
  <c r="B2040" i="5"/>
  <c r="D2032" i="5"/>
  <c r="B2032" i="5"/>
  <c r="D2024" i="5"/>
  <c r="B2024" i="5"/>
  <c r="D2018" i="5"/>
  <c r="B2018" i="5"/>
  <c r="D2011" i="5"/>
  <c r="B2011" i="5"/>
  <c r="D2004" i="5"/>
  <c r="B2004" i="5"/>
  <c r="D1997" i="5"/>
  <c r="B1997" i="5"/>
  <c r="D1990" i="5"/>
  <c r="B1990" i="5"/>
  <c r="D1982" i="5"/>
  <c r="B1982" i="5"/>
  <c r="D1974" i="5"/>
  <c r="B1974" i="5"/>
  <c r="D1967" i="5"/>
  <c r="B1967" i="5"/>
  <c r="D1960" i="5"/>
  <c r="B1960" i="5"/>
  <c r="D1954" i="5"/>
  <c r="B1954" i="5"/>
  <c r="D1948" i="5"/>
  <c r="B1948" i="5"/>
  <c r="D1943" i="5"/>
  <c r="B1943" i="5"/>
  <c r="D1938" i="5"/>
  <c r="B1938" i="5"/>
  <c r="D1933" i="5"/>
  <c r="B1933" i="5"/>
  <c r="D1927" i="5"/>
  <c r="B1927" i="5"/>
  <c r="D1922" i="5"/>
  <c r="B1922" i="5"/>
  <c r="D1917" i="5"/>
  <c r="B1917" i="5"/>
  <c r="D1912" i="5"/>
  <c r="B1912" i="5"/>
  <c r="D1906" i="5"/>
  <c r="B1906" i="5"/>
  <c r="D1900" i="5"/>
  <c r="B1900" i="5"/>
  <c r="D1894" i="5"/>
  <c r="B1894" i="5"/>
  <c r="D1888" i="5"/>
  <c r="B1888" i="5"/>
  <c r="D1882" i="5"/>
  <c r="B1882" i="5"/>
  <c r="D1876" i="5"/>
  <c r="B1876" i="5"/>
  <c r="D1870" i="5"/>
  <c r="B1870" i="5"/>
  <c r="D1864" i="5"/>
  <c r="B1864" i="5"/>
  <c r="D1858" i="5"/>
  <c r="B1858" i="5"/>
  <c r="D1852" i="5"/>
  <c r="B1852" i="5"/>
  <c r="D1846" i="5"/>
  <c r="B1846" i="5"/>
  <c r="D1840" i="5"/>
  <c r="B1840" i="5"/>
  <c r="D1833" i="5"/>
  <c r="B1833" i="5"/>
  <c r="D1827" i="5"/>
  <c r="B1827" i="5"/>
  <c r="D1821" i="5"/>
  <c r="B1821" i="5"/>
  <c r="D1816" i="5"/>
  <c r="B1816" i="5"/>
  <c r="D1811" i="5"/>
  <c r="B1811" i="5"/>
  <c r="D1804" i="5"/>
  <c r="B1804" i="5"/>
  <c r="D1797" i="5"/>
  <c r="B1797" i="5"/>
  <c r="D1790" i="5"/>
  <c r="B1790" i="5"/>
  <c r="D1776" i="5"/>
  <c r="B1776" i="5"/>
  <c r="D1755" i="5"/>
  <c r="B1755" i="5"/>
  <c r="D1744" i="5"/>
  <c r="B1744" i="5"/>
  <c r="D1733" i="5"/>
  <c r="B1733" i="5"/>
  <c r="D1722" i="5"/>
  <c r="B1722" i="5"/>
  <c r="D1711" i="5"/>
  <c r="B1711" i="5"/>
  <c r="D1703" i="5"/>
  <c r="B1703" i="5"/>
  <c r="D1697" i="5"/>
  <c r="B1697" i="5"/>
  <c r="D1690" i="5"/>
  <c r="B1690" i="5"/>
  <c r="D1677" i="5"/>
  <c r="B1677" i="5"/>
  <c r="D1672" i="5"/>
  <c r="B1672" i="5"/>
  <c r="D1667" i="5"/>
  <c r="B1667" i="5"/>
  <c r="D1662" i="5"/>
  <c r="B1662" i="5"/>
  <c r="D1656" i="5"/>
  <c r="B1656" i="5"/>
  <c r="D1650" i="5"/>
  <c r="B1650" i="5"/>
  <c r="D1644" i="5"/>
  <c r="B1644" i="5"/>
  <c r="D1638" i="5"/>
  <c r="B1638" i="5"/>
  <c r="D1633" i="5"/>
  <c r="B1633" i="5"/>
  <c r="D1627" i="5"/>
  <c r="B1627" i="5"/>
  <c r="D1621" i="5"/>
  <c r="B1621" i="5"/>
  <c r="D1616" i="5"/>
  <c r="B1616" i="5"/>
  <c r="D1603" i="5"/>
  <c r="B1603" i="5"/>
  <c r="D1597" i="5"/>
  <c r="B1597" i="5"/>
  <c r="D1591" i="5"/>
  <c r="B1591" i="5"/>
  <c r="D1569" i="5"/>
  <c r="B1569" i="5"/>
  <c r="D1555" i="5"/>
  <c r="B1555" i="5"/>
  <c r="D1548" i="5"/>
  <c r="B1548" i="5"/>
  <c r="D1540" i="5"/>
  <c r="B1540" i="5"/>
  <c r="D1516" i="5"/>
  <c r="B1516" i="5"/>
  <c r="D1508" i="5"/>
  <c r="B1508" i="5"/>
  <c r="D1493" i="5"/>
  <c r="B1493" i="5"/>
  <c r="D1478" i="5"/>
  <c r="B1478" i="5"/>
  <c r="D1463" i="5"/>
  <c r="B1463" i="5"/>
  <c r="D1448" i="5"/>
  <c r="B1448" i="5"/>
  <c r="D1433" i="5"/>
  <c r="B1433" i="5"/>
  <c r="D1418" i="5"/>
  <c r="B1418" i="5"/>
  <c r="D1403" i="5"/>
  <c r="B1403" i="5"/>
  <c r="D1390" i="5"/>
  <c r="B1390" i="5"/>
  <c r="D1384" i="5"/>
  <c r="B1384" i="5"/>
  <c r="D1378" i="5"/>
  <c r="B1378" i="5"/>
  <c r="D1366" i="5"/>
  <c r="B1366" i="5"/>
  <c r="D1360" i="5"/>
  <c r="B1360" i="5"/>
  <c r="D1353" i="5"/>
  <c r="B1353" i="5"/>
  <c r="D1347" i="5"/>
  <c r="B1347" i="5"/>
  <c r="D1340" i="5"/>
  <c r="B1340" i="5"/>
  <c r="D1334" i="5"/>
  <c r="B1334" i="5"/>
  <c r="D1328" i="5"/>
  <c r="B1328" i="5"/>
  <c r="D1322" i="5"/>
  <c r="B1322" i="5"/>
  <c r="D1317" i="5"/>
  <c r="B1317" i="5"/>
  <c r="D1308" i="5"/>
  <c r="B1308" i="5"/>
  <c r="D1300" i="5"/>
  <c r="B1300" i="5"/>
  <c r="D1293" i="5"/>
  <c r="B1293" i="5"/>
  <c r="D1286" i="5"/>
  <c r="B1286" i="5"/>
  <c r="D1279" i="5"/>
  <c r="B1279" i="5"/>
  <c r="D1272" i="5"/>
  <c r="B1272" i="5"/>
  <c r="D1266" i="5"/>
  <c r="B1266" i="5"/>
  <c r="D1259" i="5"/>
  <c r="B1259" i="5"/>
  <c r="D1252" i="5"/>
  <c r="B1252" i="5"/>
  <c r="D1245" i="5"/>
  <c r="B1245" i="5"/>
  <c r="D1238" i="5"/>
  <c r="B1238" i="5"/>
  <c r="D1231" i="5"/>
  <c r="B1231" i="5"/>
  <c r="D1224" i="5"/>
  <c r="B1224" i="5"/>
  <c r="D1217" i="5"/>
  <c r="B1217" i="5"/>
  <c r="D1210" i="5"/>
  <c r="B1210" i="5"/>
  <c r="D1203" i="5"/>
  <c r="B1203" i="5"/>
  <c r="D1196" i="5"/>
  <c r="B1196" i="5"/>
  <c r="D1189" i="5"/>
  <c r="B1189" i="5"/>
  <c r="D1182" i="5"/>
  <c r="B1182" i="5"/>
  <c r="D1175" i="5"/>
  <c r="B1175" i="5"/>
  <c r="D1168" i="5"/>
  <c r="B1168" i="5"/>
  <c r="D1161" i="5"/>
  <c r="B1161" i="5"/>
  <c r="D1154" i="5"/>
  <c r="B1154" i="5"/>
  <c r="D1147" i="5"/>
  <c r="B1147" i="5"/>
  <c r="D1140" i="5"/>
  <c r="B1140" i="5"/>
  <c r="D1133" i="5"/>
  <c r="B1133" i="5"/>
  <c r="D1128" i="5"/>
  <c r="B1128" i="5"/>
  <c r="D1122" i="5"/>
  <c r="B1122" i="5"/>
  <c r="D1117" i="5"/>
  <c r="B1117" i="5"/>
  <c r="D1112" i="5"/>
  <c r="B1112" i="5"/>
  <c r="D1104" i="5"/>
  <c r="B1104" i="5"/>
  <c r="D1094" i="5"/>
  <c r="B1094" i="5"/>
  <c r="D1086" i="5"/>
  <c r="B1086" i="5"/>
  <c r="D1078" i="5"/>
  <c r="B1078" i="5"/>
  <c r="D1069" i="5"/>
  <c r="B1069" i="5"/>
  <c r="D1062" i="5"/>
  <c r="B1062" i="5"/>
  <c r="D1055" i="5"/>
  <c r="B1055" i="5"/>
  <c r="D1048" i="5"/>
  <c r="B1048" i="5"/>
  <c r="D1041" i="5"/>
  <c r="B1041" i="5"/>
  <c r="D1032" i="5"/>
  <c r="B1032" i="5"/>
  <c r="D1022" i="5"/>
  <c r="B1022" i="5"/>
  <c r="D1017" i="5"/>
  <c r="B1017" i="5"/>
  <c r="D1008" i="5"/>
  <c r="B1008" i="5"/>
  <c r="D1003" i="5"/>
  <c r="B1003" i="5"/>
  <c r="D998" i="5"/>
  <c r="B998" i="5"/>
  <c r="D987" i="5"/>
  <c r="B987" i="5"/>
  <c r="D976" i="5"/>
  <c r="B976" i="5"/>
  <c r="D969" i="5"/>
  <c r="B969" i="5"/>
  <c r="D962" i="5"/>
  <c r="B962" i="5"/>
  <c r="D955" i="5"/>
  <c r="B955" i="5"/>
  <c r="D949" i="5"/>
  <c r="B949" i="5"/>
  <c r="D943" i="5"/>
  <c r="B943" i="5"/>
  <c r="D925" i="5"/>
  <c r="B925" i="5"/>
  <c r="D918" i="5"/>
  <c r="B918" i="5"/>
  <c r="D903" i="5"/>
  <c r="B903" i="5"/>
  <c r="D899" i="5"/>
  <c r="B899" i="5"/>
  <c r="D892" i="5"/>
  <c r="B892" i="5"/>
  <c r="D887" i="5"/>
  <c r="B887" i="5"/>
  <c r="D881" i="5"/>
  <c r="B881" i="5"/>
  <c r="D875" i="5"/>
  <c r="B875" i="5"/>
  <c r="D867" i="5"/>
  <c r="B867" i="5"/>
  <c r="D862" i="5"/>
  <c r="B862" i="5"/>
  <c r="D856" i="5"/>
  <c r="B856" i="5"/>
  <c r="D850" i="5"/>
  <c r="B850" i="5"/>
  <c r="D845" i="5"/>
  <c r="B845" i="5"/>
  <c r="D839" i="5"/>
  <c r="B839" i="5"/>
  <c r="D832" i="5"/>
  <c r="B832" i="5"/>
  <c r="D827" i="5"/>
  <c r="B827" i="5"/>
  <c r="D823" i="5"/>
  <c r="B823" i="5"/>
  <c r="D818" i="5"/>
  <c r="B818" i="5"/>
  <c r="D814" i="5"/>
  <c r="B814" i="5"/>
  <c r="D804" i="5"/>
  <c r="B804" i="5"/>
  <c r="D790" i="5"/>
  <c r="B790" i="5"/>
  <c r="D783" i="5"/>
  <c r="B783" i="5"/>
  <c r="D772" i="5"/>
  <c r="B772" i="5"/>
  <c r="D766" i="5"/>
  <c r="B766" i="5"/>
  <c r="D755" i="5"/>
  <c r="B755" i="5"/>
  <c r="D748" i="5"/>
  <c r="B748" i="5"/>
  <c r="D744" i="5"/>
  <c r="B744" i="5"/>
  <c r="D736" i="5"/>
  <c r="B736" i="5"/>
  <c r="D730" i="5"/>
  <c r="B730" i="5"/>
  <c r="D723" i="5"/>
  <c r="B723" i="5"/>
  <c r="D714" i="5"/>
  <c r="B714" i="5"/>
  <c r="D704" i="5"/>
  <c r="B704" i="5"/>
  <c r="D696" i="5"/>
  <c r="B696" i="5"/>
  <c r="D686" i="5"/>
  <c r="B686" i="5"/>
  <c r="D676" i="5"/>
  <c r="B676" i="5"/>
  <c r="D668" i="5"/>
  <c r="B668" i="5"/>
  <c r="D664" i="5"/>
  <c r="B664" i="5"/>
  <c r="D660" i="5"/>
  <c r="B660" i="5"/>
  <c r="D656" i="5"/>
  <c r="B656" i="5"/>
  <c r="D652" i="5"/>
  <c r="B652" i="5"/>
  <c r="D648" i="5"/>
  <c r="B648" i="5"/>
  <c r="D644" i="5"/>
  <c r="B644" i="5"/>
  <c r="D637" i="5"/>
  <c r="B637" i="5"/>
  <c r="D629" i="5"/>
  <c r="B629" i="5"/>
  <c r="D621" i="5"/>
  <c r="B621" i="5"/>
  <c r="D615" i="5"/>
  <c r="B615" i="5"/>
  <c r="D606" i="5"/>
  <c r="B606" i="5"/>
  <c r="D596" i="5"/>
  <c r="B596" i="5"/>
  <c r="D588" i="5"/>
  <c r="B588" i="5"/>
  <c r="D579" i="5"/>
  <c r="B579" i="5"/>
  <c r="D569" i="5"/>
  <c r="B569" i="5"/>
  <c r="D561" i="5"/>
  <c r="B561" i="5"/>
  <c r="D545" i="5"/>
  <c r="B545" i="5"/>
  <c r="D537" i="5"/>
  <c r="B537" i="5"/>
  <c r="D531" i="5"/>
  <c r="B531" i="5"/>
  <c r="D524" i="5"/>
  <c r="B524" i="5"/>
  <c r="D517" i="5"/>
  <c r="B517" i="5"/>
  <c r="D511" i="5"/>
  <c r="B511" i="5"/>
  <c r="D504" i="5"/>
  <c r="B504" i="5"/>
  <c r="D497" i="5"/>
  <c r="B497" i="5"/>
  <c r="D489" i="5"/>
  <c r="B489" i="5"/>
  <c r="D483" i="5"/>
  <c r="B483" i="5"/>
  <c r="D471" i="5"/>
  <c r="B471" i="5"/>
  <c r="D464" i="5"/>
  <c r="B464" i="5"/>
  <c r="D446" i="5"/>
  <c r="B446" i="5"/>
  <c r="D434" i="5"/>
  <c r="B434" i="5"/>
  <c r="D422" i="5"/>
  <c r="B422" i="5"/>
  <c r="D415" i="5"/>
  <c r="B415" i="5"/>
  <c r="D401" i="5"/>
  <c r="B401" i="5"/>
  <c r="D380" i="5"/>
  <c r="B380" i="5"/>
  <c r="D365" i="5"/>
  <c r="B365" i="5"/>
  <c r="D351" i="5"/>
  <c r="B351" i="5"/>
  <c r="D326" i="5"/>
  <c r="B326" i="5"/>
  <c r="D320" i="5"/>
  <c r="B320" i="5"/>
  <c r="D305" i="5"/>
  <c r="B305" i="5"/>
  <c r="D268" i="5"/>
  <c r="B268" i="5"/>
  <c r="D263" i="5"/>
  <c r="B263" i="5"/>
  <c r="D240" i="5"/>
  <c r="B240" i="5"/>
  <c r="D236" i="5"/>
  <c r="B236" i="5"/>
  <c r="D232" i="5"/>
  <c r="B232" i="5"/>
  <c r="D228" i="5"/>
  <c r="B228" i="5"/>
  <c r="D219" i="5"/>
  <c r="B219" i="5"/>
  <c r="D214" i="5"/>
  <c r="B214" i="5"/>
  <c r="D210" i="5"/>
  <c r="B210" i="5"/>
  <c r="D205" i="5"/>
  <c r="B205" i="5"/>
  <c r="D201" i="5"/>
  <c r="B201" i="5"/>
  <c r="D197" i="5"/>
  <c r="B197" i="5"/>
  <c r="D190" i="5"/>
  <c r="B190" i="5"/>
  <c r="D183" i="5"/>
  <c r="B183" i="5"/>
  <c r="D179" i="5"/>
  <c r="B179" i="5"/>
  <c r="D175" i="5"/>
  <c r="B175" i="5"/>
  <c r="D171" i="5"/>
  <c r="B171" i="5"/>
  <c r="D166" i="5"/>
  <c r="B166" i="5"/>
  <c r="D161" i="5"/>
  <c r="B161" i="5"/>
  <c r="D154" i="5"/>
  <c r="B154" i="5"/>
  <c r="D149" i="5"/>
  <c r="B149" i="5"/>
  <c r="D144" i="5"/>
  <c r="B144" i="5"/>
  <c r="D139" i="5"/>
  <c r="B139" i="5"/>
  <c r="D135" i="5"/>
  <c r="B135" i="5"/>
  <c r="D131" i="5"/>
  <c r="B131" i="5"/>
  <c r="D126" i="5"/>
  <c r="B126" i="5"/>
  <c r="D121" i="5"/>
  <c r="B121" i="5"/>
  <c r="D116" i="5"/>
  <c r="B116" i="5"/>
  <c r="D111" i="5"/>
  <c r="B111" i="5"/>
  <c r="D106" i="5"/>
  <c r="B106" i="5"/>
  <c r="D102" i="5"/>
  <c r="B102" i="5"/>
  <c r="D97" i="5"/>
  <c r="B97" i="5"/>
  <c r="D92" i="5"/>
  <c r="B92" i="5"/>
  <c r="D87" i="5"/>
  <c r="B87" i="5"/>
  <c r="D82" i="5"/>
  <c r="B82" i="5"/>
  <c r="D77" i="5"/>
  <c r="B77" i="5"/>
  <c r="D64" i="5"/>
  <c r="B64" i="5"/>
  <c r="D59" i="5"/>
  <c r="B59" i="5"/>
  <c r="D52" i="5"/>
  <c r="B52" i="5"/>
  <c r="D47" i="5"/>
  <c r="B47" i="5"/>
  <c r="D42" i="5"/>
  <c r="B42" i="5"/>
  <c r="D37" i="5"/>
  <c r="B37" i="5"/>
  <c r="D33" i="5"/>
  <c r="B33" i="5"/>
  <c r="A3" i="7" l="1"/>
  <c r="A3" i="6"/>
  <c r="A1" i="7"/>
  <c r="A1" i="6"/>
  <c r="G5317" i="5" l="1"/>
  <c r="G6115" i="5"/>
  <c r="G6108" i="5"/>
  <c r="G5963" i="5"/>
  <c r="G5191" i="5"/>
  <c r="G5187" i="5"/>
  <c r="G5212" i="5"/>
  <c r="G5281" i="5"/>
  <c r="G5180" i="5"/>
  <c r="G5140" i="5"/>
  <c r="G5218" i="5"/>
  <c r="G5275" i="5"/>
  <c r="G5308" i="5"/>
  <c r="G5300" i="5"/>
  <c r="G5158" i="5"/>
  <c r="G5164" i="5"/>
  <c r="G5152" i="5"/>
  <c r="G4962" i="5"/>
  <c r="G5019" i="5"/>
  <c r="G5076" i="5"/>
  <c r="G5082" i="5"/>
  <c r="G5005" i="5"/>
  <c r="G5070" i="5"/>
  <c r="G5035" i="5"/>
  <c r="G4923" i="5"/>
  <c r="G5027" i="5"/>
  <c r="G5012" i="5"/>
  <c r="G4967" i="5"/>
  <c r="G4975" i="5"/>
  <c r="G4983" i="5"/>
  <c r="G4991" i="5"/>
  <c r="G4998" i="5"/>
  <c r="G4743" i="5"/>
  <c r="G4896" i="5"/>
  <c r="G4892" i="5"/>
  <c r="G4765" i="5"/>
  <c r="G4779" i="5"/>
  <c r="G4751" i="5"/>
  <c r="G4798" i="5"/>
  <c r="G4805" i="5"/>
  <c r="G4758" i="5"/>
  <c r="G4772" i="5"/>
  <c r="G4725" i="5"/>
  <c r="G4735" i="5"/>
  <c r="G4657" i="5"/>
  <c r="G4652" i="5"/>
  <c r="E17" i="9" l="1"/>
  <c r="G31" i="19" s="1"/>
  <c r="F34" i="7"/>
  <c r="F23" i="7"/>
  <c r="F18" i="7"/>
  <c r="F358" i="6"/>
  <c r="F357" i="6"/>
  <c r="F356" i="6"/>
  <c r="D346" i="6"/>
  <c r="D334" i="6"/>
  <c r="D333" i="6"/>
  <c r="F323" i="6"/>
  <c r="F322" i="6"/>
  <c r="D320" i="6"/>
  <c r="D319" i="6"/>
  <c r="F310" i="6"/>
  <c r="F297" i="6"/>
  <c r="F296" i="6"/>
  <c r="F293" i="6"/>
  <c r="D292" i="6"/>
  <c r="D291" i="6"/>
  <c r="D273" i="6"/>
  <c r="D272" i="6"/>
  <c r="D263" i="6"/>
  <c r="D262" i="6"/>
  <c r="D249" i="6"/>
  <c r="D248" i="6"/>
  <c r="D235" i="6"/>
  <c r="D234" i="6"/>
  <c r="F221" i="6"/>
  <c r="D211" i="6"/>
  <c r="F208" i="6"/>
  <c r="F204" i="6"/>
  <c r="F191" i="6"/>
  <c r="F180" i="6"/>
  <c r="F179" i="6"/>
  <c r="F178" i="6"/>
  <c r="F177" i="6"/>
  <c r="D176" i="6"/>
  <c r="D175" i="6"/>
  <c r="F169" i="6"/>
  <c r="F166" i="6"/>
  <c r="F165" i="6"/>
  <c r="D164" i="6"/>
  <c r="D163" i="6"/>
  <c r="F155" i="6"/>
  <c r="F149" i="6"/>
  <c r="F148" i="6"/>
  <c r="F147" i="6"/>
  <c r="F131" i="6"/>
  <c r="F129" i="6"/>
  <c r="F123" i="6"/>
  <c r="F112" i="6"/>
  <c r="F106" i="6"/>
  <c r="D102" i="6"/>
  <c r="D101" i="6"/>
  <c r="F96" i="6"/>
  <c r="F95" i="6"/>
  <c r="D92" i="6"/>
  <c r="D91" i="6"/>
  <c r="F87" i="6"/>
  <c r="F86" i="6"/>
  <c r="F85" i="6"/>
  <c r="F80" i="6"/>
  <c r="F79" i="6"/>
  <c r="D75" i="6"/>
  <c r="D74" i="6"/>
  <c r="F69" i="6"/>
  <c r="F60" i="6"/>
  <c r="F59" i="6"/>
  <c r="F58" i="6"/>
  <c r="D57" i="6"/>
  <c r="D56" i="6"/>
  <c r="F49" i="6"/>
  <c r="F39" i="6"/>
  <c r="F38" i="6"/>
  <c r="F26" i="6"/>
  <c r="F20" i="6"/>
  <c r="F14" i="6"/>
  <c r="F13" i="6"/>
  <c r="D12" i="6"/>
  <c r="D11" i="6"/>
  <c r="F6" i="6"/>
  <c r="G4623" i="5"/>
  <c r="G4620" i="5"/>
  <c r="G4619" i="5"/>
  <c r="G4618" i="5"/>
  <c r="G4609" i="5"/>
  <c r="G4608" i="5"/>
  <c r="G4607" i="5"/>
  <c r="G4606" i="5"/>
  <c r="G4605" i="5"/>
  <c r="E4604" i="5"/>
  <c r="E4603" i="5"/>
  <c r="G4601" i="5"/>
  <c r="G4600" i="5"/>
  <c r="G4599" i="5"/>
  <c r="G4598" i="5"/>
  <c r="G4597" i="5"/>
  <c r="G4595" i="5"/>
  <c r="G4594" i="5"/>
  <c r="G4593" i="5"/>
  <c r="G4592" i="5"/>
  <c r="G4591" i="5"/>
  <c r="G4590" i="5"/>
  <c r="E4588" i="5"/>
  <c r="G4583" i="5"/>
  <c r="G4582" i="5"/>
  <c r="G4581" i="5"/>
  <c r="G4574" i="5"/>
  <c r="G4573" i="5"/>
  <c r="G4572" i="5"/>
  <c r="G4571" i="5"/>
  <c r="G4570" i="5"/>
  <c r="G4569" i="5"/>
  <c r="G4566" i="5"/>
  <c r="G4565" i="5"/>
  <c r="G4564" i="5"/>
  <c r="G4560" i="5"/>
  <c r="G4559" i="5"/>
  <c r="G4558" i="5"/>
  <c r="G4550" i="5"/>
  <c r="G4549" i="5"/>
  <c r="G4548" i="5"/>
  <c r="G4542" i="5"/>
  <c r="G4541" i="5"/>
  <c r="G4540" i="5"/>
  <c r="G4534" i="5"/>
  <c r="G4533" i="5"/>
  <c r="G4532" i="5"/>
  <c r="G4528" i="5"/>
  <c r="G4527" i="5"/>
  <c r="G4526" i="5"/>
  <c r="G4525" i="5"/>
  <c r="G4524" i="5"/>
  <c r="G4523" i="5"/>
  <c r="G4520" i="5"/>
  <c r="G4518" i="5"/>
  <c r="G4517" i="5"/>
  <c r="G4516" i="5"/>
  <c r="E4515" i="5"/>
  <c r="E4514" i="5"/>
  <c r="G4508" i="5"/>
  <c r="G4507" i="5"/>
  <c r="G4506" i="5"/>
  <c r="G4502" i="5"/>
  <c r="G4501" i="5"/>
  <c r="G4500" i="5"/>
  <c r="G4499" i="5"/>
  <c r="G4498" i="5"/>
  <c r="E4497" i="5"/>
  <c r="G4494" i="5"/>
  <c r="G4493" i="5"/>
  <c r="G4492" i="5"/>
  <c r="G4485" i="5"/>
  <c r="G4484" i="5"/>
  <c r="G4483" i="5"/>
  <c r="E4482" i="5"/>
  <c r="E4481" i="5"/>
  <c r="E4480" i="5"/>
  <c r="E4479" i="5"/>
  <c r="E4478" i="5"/>
  <c r="G4477" i="5"/>
  <c r="G4476" i="5"/>
  <c r="G4475" i="5"/>
  <c r="G4474" i="5"/>
  <c r="G4473" i="5"/>
  <c r="E4472" i="5"/>
  <c r="E4471" i="5"/>
  <c r="G4458" i="5"/>
  <c r="G4457" i="5"/>
  <c r="G4456" i="5"/>
  <c r="E4451" i="5"/>
  <c r="E4450" i="5"/>
  <c r="E4449" i="5"/>
  <c r="E4448" i="5"/>
  <c r="E4447" i="5"/>
  <c r="G4446" i="5"/>
  <c r="G4445" i="5"/>
  <c r="G4444" i="5"/>
  <c r="G4434" i="5"/>
  <c r="G4432" i="5"/>
  <c r="G4428" i="5"/>
  <c r="G4427" i="5"/>
  <c r="G4426" i="5"/>
  <c r="G4423" i="5"/>
  <c r="G4422" i="5"/>
  <c r="G4421" i="5"/>
  <c r="E4420" i="5"/>
  <c r="G4415" i="5"/>
  <c r="G4414" i="5"/>
  <c r="G4413" i="5"/>
  <c r="G4409" i="5"/>
  <c r="G4408" i="5"/>
  <c r="G4407" i="5"/>
  <c r="G4404" i="5"/>
  <c r="G4403" i="5"/>
  <c r="G4402" i="5"/>
  <c r="G4399" i="5"/>
  <c r="G4398" i="5"/>
  <c r="G4397" i="5"/>
  <c r="G4393" i="5"/>
  <c r="G4392" i="5"/>
  <c r="G4391" i="5"/>
  <c r="G4385" i="5"/>
  <c r="G4384" i="5"/>
  <c r="G4383" i="5"/>
  <c r="G4377" i="5"/>
  <c r="G4376" i="5"/>
  <c r="G4375" i="5"/>
  <c r="E4364" i="5"/>
  <c r="G4357" i="5"/>
  <c r="G4356" i="5"/>
  <c r="G4355" i="5"/>
  <c r="G4351" i="5"/>
  <c r="G4350" i="5"/>
  <c r="G4349" i="5"/>
  <c r="G4339" i="5"/>
  <c r="G4338" i="5"/>
  <c r="G4337" i="5"/>
  <c r="G4327" i="5"/>
  <c r="G4326" i="5"/>
  <c r="G4325" i="5"/>
  <c r="G4319" i="5"/>
  <c r="G4318" i="5"/>
  <c r="G4317" i="5"/>
  <c r="G4309" i="5"/>
  <c r="G4308" i="5"/>
  <c r="G4307" i="5"/>
  <c r="G4299" i="5"/>
  <c r="G4297" i="5"/>
  <c r="G4289" i="5"/>
  <c r="G4288" i="5"/>
  <c r="G4287" i="5"/>
  <c r="E4286" i="5"/>
  <c r="E4284" i="5"/>
  <c r="E4283" i="5"/>
  <c r="E4282" i="5"/>
  <c r="G4281" i="5"/>
  <c r="G4280" i="5"/>
  <c r="G4279" i="5"/>
  <c r="E4278" i="5"/>
  <c r="E4276" i="5"/>
  <c r="E4275" i="5"/>
  <c r="E4274" i="5"/>
  <c r="G4273" i="5"/>
  <c r="G4272" i="5"/>
  <c r="G4271" i="5"/>
  <c r="G4263" i="5"/>
  <c r="G4262" i="5"/>
  <c r="G4261" i="5"/>
  <c r="G4254" i="5"/>
  <c r="G4253" i="5"/>
  <c r="G4252" i="5"/>
  <c r="G4245" i="5"/>
  <c r="G4244" i="5"/>
  <c r="G4243" i="5"/>
  <c r="G4236" i="5"/>
  <c r="G4235" i="5"/>
  <c r="G4234" i="5"/>
  <c r="G4227" i="5"/>
  <c r="G4226" i="5"/>
  <c r="G4225" i="5"/>
  <c r="G4217" i="5"/>
  <c r="G4216" i="5"/>
  <c r="G4215" i="5"/>
  <c r="E4213" i="5"/>
  <c r="E4212" i="5"/>
  <c r="E4211" i="5"/>
  <c r="G4210" i="5"/>
  <c r="G4209" i="5"/>
  <c r="G4208" i="5"/>
  <c r="G4207" i="5"/>
  <c r="G4206" i="5"/>
  <c r="E4205" i="5"/>
  <c r="E4204" i="5"/>
  <c r="G4183" i="5"/>
  <c r="G4182" i="5"/>
  <c r="G4181" i="5"/>
  <c r="G4180" i="5"/>
  <c r="G4179" i="5"/>
  <c r="E4178" i="5"/>
  <c r="E4177" i="5"/>
  <c r="G4167" i="5"/>
  <c r="G4166" i="5"/>
  <c r="G4165" i="5"/>
  <c r="E4161" i="5"/>
  <c r="E4160" i="5"/>
  <c r="E4159" i="5"/>
  <c r="G4158" i="5"/>
  <c r="G4157" i="5"/>
  <c r="G4156" i="5"/>
  <c r="G4148" i="5"/>
  <c r="G4147" i="5"/>
  <c r="G4146" i="5"/>
  <c r="G4143" i="5"/>
  <c r="G4142" i="5"/>
  <c r="G4141" i="5"/>
  <c r="G4136" i="5"/>
  <c r="G4135" i="5"/>
  <c r="G4134" i="5"/>
  <c r="G4129" i="5"/>
  <c r="G4128" i="5"/>
  <c r="G4127" i="5"/>
  <c r="G4123" i="5"/>
  <c r="G4122" i="5"/>
  <c r="G4121" i="5"/>
  <c r="G4120" i="5"/>
  <c r="G4119" i="5"/>
  <c r="E4116" i="5"/>
  <c r="G4115" i="5"/>
  <c r="G4114" i="5"/>
  <c r="G4113" i="5"/>
  <c r="G4109" i="5"/>
  <c r="G4108" i="5"/>
  <c r="G4107" i="5"/>
  <c r="G4099" i="5"/>
  <c r="G4098" i="5"/>
  <c r="G4097" i="5"/>
  <c r="G4093" i="5"/>
  <c r="G4092" i="5"/>
  <c r="G4091" i="5"/>
  <c r="G4087" i="5"/>
  <c r="G4086" i="5"/>
  <c r="G4085" i="5"/>
  <c r="G4081" i="5"/>
  <c r="G4080" i="5"/>
  <c r="G4079" i="5"/>
  <c r="G4074" i="5"/>
  <c r="G4073" i="5"/>
  <c r="G4072" i="5"/>
  <c r="G4067" i="5"/>
  <c r="G4066" i="5"/>
  <c r="G4065" i="5"/>
  <c r="G4063" i="5"/>
  <c r="G4062" i="5"/>
  <c r="G4061" i="5"/>
  <c r="G4060" i="5"/>
  <c r="G4059" i="5"/>
  <c r="E4054" i="5"/>
  <c r="G4052" i="5"/>
  <c r="G4051" i="5"/>
  <c r="G4050" i="5"/>
  <c r="G4041" i="5"/>
  <c r="G4040" i="5"/>
  <c r="G4039" i="5"/>
  <c r="G4034" i="5"/>
  <c r="G4033" i="5"/>
  <c r="G4032" i="5"/>
  <c r="G4024" i="5"/>
  <c r="G4023" i="5"/>
  <c r="G4022" i="5"/>
  <c r="G4016" i="5"/>
  <c r="G4015" i="5"/>
  <c r="G4014" i="5"/>
  <c r="G4008" i="5"/>
  <c r="G4007" i="5"/>
  <c r="G4006" i="5"/>
  <c r="G4000" i="5"/>
  <c r="G3998" i="5"/>
  <c r="G3993" i="5"/>
  <c r="G3992" i="5"/>
  <c r="G3991" i="5"/>
  <c r="G3989" i="5"/>
  <c r="G3988" i="5"/>
  <c r="G3987" i="5"/>
  <c r="G3986" i="5"/>
  <c r="G3985" i="5"/>
  <c r="E3984" i="5"/>
  <c r="G3983" i="5"/>
  <c r="G3982" i="5"/>
  <c r="G3981" i="5"/>
  <c r="G3976" i="5"/>
  <c r="G3975" i="5"/>
  <c r="G3974" i="5"/>
  <c r="G3970" i="5"/>
  <c r="G3968" i="5"/>
  <c r="G3964" i="5"/>
  <c r="G3963" i="5"/>
  <c r="G3962" i="5"/>
  <c r="G3955" i="5"/>
  <c r="G3953" i="5"/>
  <c r="G3946" i="5"/>
  <c r="G3945" i="5"/>
  <c r="G3944" i="5"/>
  <c r="G3937" i="5"/>
  <c r="G3936" i="5"/>
  <c r="G3935" i="5"/>
  <c r="G3928" i="5"/>
  <c r="G3927" i="5"/>
  <c r="G3926" i="5"/>
  <c r="G3919" i="5"/>
  <c r="G3917" i="5"/>
  <c r="G3910" i="5"/>
  <c r="G3909" i="5"/>
  <c r="G3908" i="5"/>
  <c r="G3906" i="5"/>
  <c r="G3905" i="5"/>
  <c r="G3904" i="5"/>
  <c r="G3902" i="5"/>
  <c r="G3901" i="5"/>
  <c r="G3900" i="5"/>
  <c r="E3898" i="5"/>
  <c r="G3897" i="5"/>
  <c r="G3896" i="5"/>
  <c r="G3895" i="5"/>
  <c r="G3884" i="5"/>
  <c r="G3883" i="5"/>
  <c r="G3882" i="5"/>
  <c r="G3881" i="5"/>
  <c r="G3880" i="5"/>
  <c r="E3879" i="5"/>
  <c r="E3878" i="5"/>
  <c r="G3871" i="5"/>
  <c r="G3870" i="5"/>
  <c r="G3869" i="5"/>
  <c r="G3863" i="5"/>
  <c r="G3862" i="5"/>
  <c r="G3861" i="5"/>
  <c r="G3856" i="5"/>
  <c r="G3855" i="5"/>
  <c r="G3854" i="5"/>
  <c r="G3846" i="5"/>
  <c r="G3844" i="5"/>
  <c r="E3841" i="5"/>
  <c r="G3839" i="5"/>
  <c r="G3838" i="5"/>
  <c r="G3837" i="5"/>
  <c r="G3830" i="5"/>
  <c r="G3829" i="5"/>
  <c r="G3828" i="5"/>
  <c r="E3827" i="5"/>
  <c r="E3826" i="5"/>
  <c r="E3825" i="5"/>
  <c r="E3824" i="5"/>
  <c r="G3823" i="5"/>
  <c r="G3822" i="5"/>
  <c r="G3821" i="5"/>
  <c r="G3817" i="5"/>
  <c r="G3816" i="5"/>
  <c r="G3815" i="5"/>
  <c r="G3811" i="5"/>
  <c r="G3810" i="5"/>
  <c r="G3809" i="5"/>
  <c r="G3805" i="5"/>
  <c r="G3803" i="5"/>
  <c r="G3789" i="5"/>
  <c r="G3787" i="5"/>
  <c r="G3782" i="5"/>
  <c r="G3780" i="5"/>
  <c r="G3767" i="5"/>
  <c r="G3766" i="5"/>
  <c r="G3765" i="5"/>
  <c r="G3764" i="5"/>
  <c r="G3763" i="5"/>
  <c r="E3762" i="5"/>
  <c r="E3761" i="5"/>
  <c r="G3755" i="5"/>
  <c r="G3754" i="5"/>
  <c r="G3753" i="5"/>
  <c r="G3747" i="5"/>
  <c r="G3745" i="5"/>
  <c r="G3738" i="5"/>
  <c r="G3737" i="5"/>
  <c r="G3736" i="5"/>
  <c r="G3728" i="5"/>
  <c r="G3726" i="5"/>
  <c r="G3725" i="5"/>
  <c r="G3724" i="5"/>
  <c r="E3723" i="5"/>
  <c r="G3717" i="5"/>
  <c r="G3716" i="5"/>
  <c r="G3715" i="5"/>
  <c r="E3714" i="5"/>
  <c r="E3713" i="5"/>
  <c r="G3712" i="5"/>
  <c r="G3711" i="5"/>
  <c r="G3710" i="5"/>
  <c r="G3709" i="5"/>
  <c r="G3708" i="5"/>
  <c r="E3707" i="5"/>
  <c r="G3706" i="5"/>
  <c r="G3705" i="5"/>
  <c r="G3704" i="5"/>
  <c r="G3702" i="5"/>
  <c r="G3701" i="5"/>
  <c r="G3700" i="5"/>
  <c r="G3698" i="5"/>
  <c r="G3696" i="5"/>
  <c r="G3694" i="5"/>
  <c r="G3693" i="5"/>
  <c r="G3692" i="5"/>
  <c r="G3685" i="5"/>
  <c r="G3684" i="5"/>
  <c r="G3683" i="5"/>
  <c r="G3682" i="5"/>
  <c r="G3681" i="5"/>
  <c r="G3680" i="5"/>
  <c r="E3679" i="5"/>
  <c r="E3678" i="5"/>
  <c r="E3677" i="5"/>
  <c r="G3676" i="5"/>
  <c r="G3675" i="5"/>
  <c r="G3674" i="5"/>
  <c r="E3673" i="5"/>
  <c r="G3671" i="5"/>
  <c r="G3670" i="5"/>
  <c r="G3669" i="5"/>
  <c r="G3661" i="5"/>
  <c r="G3659" i="5"/>
  <c r="G3657" i="5"/>
  <c r="G3655" i="5"/>
  <c r="G3654" i="5"/>
  <c r="G3653" i="5"/>
  <c r="E3652" i="5"/>
  <c r="E3650" i="5"/>
  <c r="E3649" i="5"/>
  <c r="E3648" i="5"/>
  <c r="E3647" i="5"/>
  <c r="G3646" i="5"/>
  <c r="G3645" i="5"/>
  <c r="G3644" i="5"/>
  <c r="G3643" i="5"/>
  <c r="G3642" i="5"/>
  <c r="E3641" i="5"/>
  <c r="E3640" i="5"/>
  <c r="G3633" i="5"/>
  <c r="G3631" i="5"/>
  <c r="G3630" i="5"/>
  <c r="G3629" i="5"/>
  <c r="E3628" i="5"/>
  <c r="E3627" i="5"/>
  <c r="G3621" i="5"/>
  <c r="G3620" i="5"/>
  <c r="G3619" i="5"/>
  <c r="G3618" i="5"/>
  <c r="G3617" i="5"/>
  <c r="E3616" i="5"/>
  <c r="E3615" i="5"/>
  <c r="E3614" i="5"/>
  <c r="G3613" i="5"/>
  <c r="G3612" i="5"/>
  <c r="G3611" i="5"/>
  <c r="G3610" i="5"/>
  <c r="G3609" i="5"/>
  <c r="E3606" i="5"/>
  <c r="E3605" i="5"/>
  <c r="E3604" i="5"/>
  <c r="E3603" i="5"/>
  <c r="E3602" i="5"/>
  <c r="G3598" i="5"/>
  <c r="G3596" i="5"/>
  <c r="G3592" i="5"/>
  <c r="G3591" i="5"/>
  <c r="G3590" i="5"/>
  <c r="G3588" i="5"/>
  <c r="G3587" i="5"/>
  <c r="G3586" i="5"/>
  <c r="E3583" i="5"/>
  <c r="G3580" i="5"/>
  <c r="G3579" i="5"/>
  <c r="G3578" i="5"/>
  <c r="G3575" i="5"/>
  <c r="G3574" i="5"/>
  <c r="G3573" i="5"/>
  <c r="G3570" i="5"/>
  <c r="G3569" i="5"/>
  <c r="G3568" i="5"/>
  <c r="G3560" i="5"/>
  <c r="G3559" i="5"/>
  <c r="G3558" i="5"/>
  <c r="G3554" i="5"/>
  <c r="G3553" i="5"/>
  <c r="G3552" i="5"/>
  <c r="G3547" i="5"/>
  <c r="G3545" i="5"/>
  <c r="E3544" i="5"/>
  <c r="G3541" i="5"/>
  <c r="G3540" i="5"/>
  <c r="G3539" i="5"/>
  <c r="E3538" i="5"/>
  <c r="G3533" i="5"/>
  <c r="G3532" i="5"/>
  <c r="G3531" i="5"/>
  <c r="G3528" i="5"/>
  <c r="G3527" i="5"/>
  <c r="G3526" i="5"/>
  <c r="E3523" i="5"/>
  <c r="G3521" i="5"/>
  <c r="G3520" i="5"/>
  <c r="G3519" i="5"/>
  <c r="E3518" i="5"/>
  <c r="E3517" i="5"/>
  <c r="E3516" i="5"/>
  <c r="E3515" i="5"/>
  <c r="G3513" i="5"/>
  <c r="G3512" i="5"/>
  <c r="G3511" i="5"/>
  <c r="G3507" i="5"/>
  <c r="G3506" i="5"/>
  <c r="G3505" i="5"/>
  <c r="G3501" i="5"/>
  <c r="G3500" i="5"/>
  <c r="G3499" i="5"/>
  <c r="G3498" i="5"/>
  <c r="G3497" i="5"/>
  <c r="G3496" i="5"/>
  <c r="E3494" i="5"/>
  <c r="E3493" i="5"/>
  <c r="E3492" i="5"/>
  <c r="E3491" i="5"/>
  <c r="E3488" i="5"/>
  <c r="E3486" i="5"/>
  <c r="G3485" i="5"/>
  <c r="G3484" i="5"/>
  <c r="G3483" i="5"/>
  <c r="G3478" i="5"/>
  <c r="G3477" i="5"/>
  <c r="G3476" i="5"/>
  <c r="G3475" i="5"/>
  <c r="G3474" i="5"/>
  <c r="G3473" i="5"/>
  <c r="E3471" i="5"/>
  <c r="E3470" i="5"/>
  <c r="G3466" i="5"/>
  <c r="G3465" i="5"/>
  <c r="G3464" i="5"/>
  <c r="G3463" i="5"/>
  <c r="G3462" i="5"/>
  <c r="G3461" i="5"/>
  <c r="E3459" i="5"/>
  <c r="E3458" i="5"/>
  <c r="E3457" i="5"/>
  <c r="E3456" i="5"/>
  <c r="E3453" i="5"/>
  <c r="E3451" i="5"/>
  <c r="G3449" i="5"/>
  <c r="G3448" i="5"/>
  <c r="G3447" i="5"/>
  <c r="G3441" i="5"/>
  <c r="G3440" i="5"/>
  <c r="G3439" i="5"/>
  <c r="G3438" i="5"/>
  <c r="G3437" i="5"/>
  <c r="G3436" i="5"/>
  <c r="E3434" i="5"/>
  <c r="E3433" i="5"/>
  <c r="E3432" i="5"/>
  <c r="E3431" i="5"/>
  <c r="E3428" i="5"/>
  <c r="E3426" i="5"/>
  <c r="G3424" i="5"/>
  <c r="G3423" i="5"/>
  <c r="G3422" i="5"/>
  <c r="G3416" i="5"/>
  <c r="G3415" i="5"/>
  <c r="G3414" i="5"/>
  <c r="G3413" i="5"/>
  <c r="G3412" i="5"/>
  <c r="E3411" i="5"/>
  <c r="E3409" i="5"/>
  <c r="E3408" i="5"/>
  <c r="E3407" i="5"/>
  <c r="E3406" i="5"/>
  <c r="G3405" i="5"/>
  <c r="G3404" i="5"/>
  <c r="G3403" i="5"/>
  <c r="G3402" i="5"/>
  <c r="G3401" i="5"/>
  <c r="E3400" i="5"/>
  <c r="E3399" i="5"/>
  <c r="E3398" i="5"/>
  <c r="E3397" i="5"/>
  <c r="E3396" i="5"/>
  <c r="G3395" i="5"/>
  <c r="G3394" i="5"/>
  <c r="G3393" i="5"/>
  <c r="G3391" i="5"/>
  <c r="G3390" i="5"/>
  <c r="G3389" i="5"/>
  <c r="G3387" i="5"/>
  <c r="G3386" i="5"/>
  <c r="G3385" i="5"/>
  <c r="G3382" i="5"/>
  <c r="G3381" i="5"/>
  <c r="G3380" i="5"/>
  <c r="G3377" i="5"/>
  <c r="G3376" i="5"/>
  <c r="G3375" i="5"/>
  <c r="G3372" i="5"/>
  <c r="G3371" i="5"/>
  <c r="G3370" i="5"/>
  <c r="G3365" i="5"/>
  <c r="G3363" i="5"/>
  <c r="G3358" i="5"/>
  <c r="G3357" i="5"/>
  <c r="G3356" i="5"/>
  <c r="G3351" i="5"/>
  <c r="G3349" i="5"/>
  <c r="G3347" i="5"/>
  <c r="G3346" i="5"/>
  <c r="G3345" i="5"/>
  <c r="G3343" i="5"/>
  <c r="G3342" i="5"/>
  <c r="G3341" i="5"/>
  <c r="G3338" i="5"/>
  <c r="G3337" i="5"/>
  <c r="G3336" i="5"/>
  <c r="G3334" i="5"/>
  <c r="G3333" i="5"/>
  <c r="G3332" i="5"/>
  <c r="G3330" i="5"/>
  <c r="G3328" i="5"/>
  <c r="G3323" i="5"/>
  <c r="G3322" i="5"/>
  <c r="G3321" i="5"/>
  <c r="G3316" i="5"/>
  <c r="G3315" i="5"/>
  <c r="G3314" i="5"/>
  <c r="G3309" i="5"/>
  <c r="G3308" i="5"/>
  <c r="G3307" i="5"/>
  <c r="G3304" i="5"/>
  <c r="G3303" i="5"/>
  <c r="G3302" i="5"/>
  <c r="G3301" i="5"/>
  <c r="G3300" i="5"/>
  <c r="E3297" i="5"/>
  <c r="G3295" i="5"/>
  <c r="G3294" i="5"/>
  <c r="G3293" i="5"/>
  <c r="G3289" i="5"/>
  <c r="G3288" i="5"/>
  <c r="G3287" i="5"/>
  <c r="G3283" i="5"/>
  <c r="G3281" i="5"/>
  <c r="G3276" i="5"/>
  <c r="G3275" i="5"/>
  <c r="G3274" i="5"/>
  <c r="G3269" i="5"/>
  <c r="G3268" i="5"/>
  <c r="G3267" i="5"/>
  <c r="G3262" i="5"/>
  <c r="G3260" i="5"/>
  <c r="G3255" i="5"/>
  <c r="G3253" i="5"/>
  <c r="G3248" i="5"/>
  <c r="G3247" i="5"/>
  <c r="G3246" i="5"/>
  <c r="G3241" i="5"/>
  <c r="G3240" i="5"/>
  <c r="G3239" i="5"/>
  <c r="G3234" i="5"/>
  <c r="G3232" i="5"/>
  <c r="G3227" i="5"/>
  <c r="G3225" i="5"/>
  <c r="G3220" i="5"/>
  <c r="G3219" i="5"/>
  <c r="G3218" i="5"/>
  <c r="G3213" i="5"/>
  <c r="G3212" i="5"/>
  <c r="G3211" i="5"/>
  <c r="G3208" i="5"/>
  <c r="G3207" i="5"/>
  <c r="G3206" i="5"/>
  <c r="G3198" i="5"/>
  <c r="G3197" i="5"/>
  <c r="G3196" i="5"/>
  <c r="G3192" i="5"/>
  <c r="G3191" i="5"/>
  <c r="G3190" i="5"/>
  <c r="G3186" i="5"/>
  <c r="G3185" i="5"/>
  <c r="G3184" i="5"/>
  <c r="G3180" i="5"/>
  <c r="G3179" i="5"/>
  <c r="G3178" i="5"/>
  <c r="G3177" i="5"/>
  <c r="G3176" i="5"/>
  <c r="E3175" i="5"/>
  <c r="E3174" i="5"/>
  <c r="G3167" i="5"/>
  <c r="G3166" i="5"/>
  <c r="G3165" i="5"/>
  <c r="G3160" i="5"/>
  <c r="G3159" i="5"/>
  <c r="G3158" i="5"/>
  <c r="G3156" i="5"/>
  <c r="G3154" i="5"/>
  <c r="G3151" i="5"/>
  <c r="G3150" i="5"/>
  <c r="G3149" i="5"/>
  <c r="G3143" i="5"/>
  <c r="G3142" i="5"/>
  <c r="G3141" i="5"/>
  <c r="G3135" i="5"/>
  <c r="G3134" i="5"/>
  <c r="G3133" i="5"/>
  <c r="G3129" i="5"/>
  <c r="G3127" i="5"/>
  <c r="G3124" i="5"/>
  <c r="G3123" i="5"/>
  <c r="G3122" i="5"/>
  <c r="G3118" i="5"/>
  <c r="G3116" i="5"/>
  <c r="G3113" i="5"/>
  <c r="G3112" i="5"/>
  <c r="G3111" i="5"/>
  <c r="G3107" i="5"/>
  <c r="G3106" i="5"/>
  <c r="G3105" i="5"/>
  <c r="G3101" i="5"/>
  <c r="G3100" i="5"/>
  <c r="G3099" i="5"/>
  <c r="G3095" i="5"/>
  <c r="G3094" i="5"/>
  <c r="G3093" i="5"/>
  <c r="G3092" i="5"/>
  <c r="G3091" i="5"/>
  <c r="G3089" i="5"/>
  <c r="G3088" i="5"/>
  <c r="G3087" i="5"/>
  <c r="G3084" i="5"/>
  <c r="G3083" i="5"/>
  <c r="G3082" i="5"/>
  <c r="G3079" i="5"/>
  <c r="G3078" i="5"/>
  <c r="G3077" i="5"/>
  <c r="G3074" i="5"/>
  <c r="G3073" i="5"/>
  <c r="G3072" i="5"/>
  <c r="G3069" i="5"/>
  <c r="G3068" i="5"/>
  <c r="G3067" i="5"/>
  <c r="G3064" i="5"/>
  <c r="G3063" i="5"/>
  <c r="G3062" i="5"/>
  <c r="G3059" i="5"/>
  <c r="G3058" i="5"/>
  <c r="G3057" i="5"/>
  <c r="G3054" i="5"/>
  <c r="G3053" i="5"/>
  <c r="G3052" i="5"/>
  <c r="G3049" i="5"/>
  <c r="G3048" i="5"/>
  <c r="G3047" i="5"/>
  <c r="G3044" i="5"/>
  <c r="G3043" i="5"/>
  <c r="G3042" i="5"/>
  <c r="G3036" i="5"/>
  <c r="G3035" i="5"/>
  <c r="G3034" i="5"/>
  <c r="G3031" i="5"/>
  <c r="G3030" i="5"/>
  <c r="G3029" i="5"/>
  <c r="G3023" i="5"/>
  <c r="G3022" i="5"/>
  <c r="G3021" i="5"/>
  <c r="G3019" i="5"/>
  <c r="G3018" i="5"/>
  <c r="G3017" i="5"/>
  <c r="G3016" i="5"/>
  <c r="G3015" i="5"/>
  <c r="G3014" i="5"/>
  <c r="G3011" i="5"/>
  <c r="G3010" i="5"/>
  <c r="G3009" i="5"/>
  <c r="G3006" i="5"/>
  <c r="G3005" i="5"/>
  <c r="G3004" i="5"/>
  <c r="G3003" i="5"/>
  <c r="G3002" i="5"/>
  <c r="G3001" i="5"/>
  <c r="G2998" i="5"/>
  <c r="G2997" i="5"/>
  <c r="G2996" i="5"/>
  <c r="G2993" i="5"/>
  <c r="G2992" i="5"/>
  <c r="G2991" i="5"/>
  <c r="G2988" i="5"/>
  <c r="G2987" i="5"/>
  <c r="G2986" i="5"/>
  <c r="G2983" i="5"/>
  <c r="G2982" i="5"/>
  <c r="G2981" i="5"/>
  <c r="G2978" i="5"/>
  <c r="G2977" i="5"/>
  <c r="G2976" i="5"/>
  <c r="G2973" i="5"/>
  <c r="G2972" i="5"/>
  <c r="G2971" i="5"/>
  <c r="G2968" i="5"/>
  <c r="G2967" i="5"/>
  <c r="G2966" i="5"/>
  <c r="G2963" i="5"/>
  <c r="G2962" i="5"/>
  <c r="G2961" i="5"/>
  <c r="G2958" i="5"/>
  <c r="G2957" i="5"/>
  <c r="G2956" i="5"/>
  <c r="G2953" i="5"/>
  <c r="G2952" i="5"/>
  <c r="G2951" i="5"/>
  <c r="G2943" i="5"/>
  <c r="G2942" i="5"/>
  <c r="G2941" i="5"/>
  <c r="G2938" i="5"/>
  <c r="G2937" i="5"/>
  <c r="G2936" i="5"/>
  <c r="G2933" i="5"/>
  <c r="G2932" i="5"/>
  <c r="G2931" i="5"/>
  <c r="G2928" i="5"/>
  <c r="G2927" i="5"/>
  <c r="G2926" i="5"/>
  <c r="G2923" i="5"/>
  <c r="G2922" i="5"/>
  <c r="G2921" i="5"/>
  <c r="G2918" i="5"/>
  <c r="G2917" i="5"/>
  <c r="G2916" i="5"/>
  <c r="G2913" i="5"/>
  <c r="G2912" i="5"/>
  <c r="G2911" i="5"/>
  <c r="G2908" i="5"/>
  <c r="G2907" i="5"/>
  <c r="G2906" i="5"/>
  <c r="G2903" i="5"/>
  <c r="G2902" i="5"/>
  <c r="G2901" i="5"/>
  <c r="G2898" i="5"/>
  <c r="G2897" i="5"/>
  <c r="G2896" i="5"/>
  <c r="G2893" i="5"/>
  <c r="G2892" i="5"/>
  <c r="G2891" i="5"/>
  <c r="G2890" i="5"/>
  <c r="G2889" i="5"/>
  <c r="G2888" i="5"/>
  <c r="G2885" i="5"/>
  <c r="G2884" i="5"/>
  <c r="G2883" i="5"/>
  <c r="G2882" i="5"/>
  <c r="G2881" i="5"/>
  <c r="G2880" i="5"/>
  <c r="G2877" i="5"/>
  <c r="G2876" i="5"/>
  <c r="G2875" i="5"/>
  <c r="G2874" i="5"/>
  <c r="G2873" i="5"/>
  <c r="G2872" i="5"/>
  <c r="G2869" i="5"/>
  <c r="G2868" i="5"/>
  <c r="G2867" i="5"/>
  <c r="G2866" i="5"/>
  <c r="G2865" i="5"/>
  <c r="G2864" i="5"/>
  <c r="G2861" i="5"/>
  <c r="G2860" i="5"/>
  <c r="G2859" i="5"/>
  <c r="G2858" i="5"/>
  <c r="G2857" i="5"/>
  <c r="G2856" i="5"/>
  <c r="G2853" i="5"/>
  <c r="G2852" i="5"/>
  <c r="G2851" i="5"/>
  <c r="G2848" i="5"/>
  <c r="G2847" i="5"/>
  <c r="G2846" i="5"/>
  <c r="G2843" i="5"/>
  <c r="G2842" i="5"/>
  <c r="G2841" i="5"/>
  <c r="G2838" i="5"/>
  <c r="G2837" i="5"/>
  <c r="G2836" i="5"/>
  <c r="G2831" i="5"/>
  <c r="G2830" i="5"/>
  <c r="G2829" i="5"/>
  <c r="G2826" i="5"/>
  <c r="G2825" i="5"/>
  <c r="G2824" i="5"/>
  <c r="G2821" i="5"/>
  <c r="G2820" i="5"/>
  <c r="G2819" i="5"/>
  <c r="G2816" i="5"/>
  <c r="G2815" i="5"/>
  <c r="G2814" i="5"/>
  <c r="G2811" i="5"/>
  <c r="G2810" i="5"/>
  <c r="G2809" i="5"/>
  <c r="G2806" i="5"/>
  <c r="G2805" i="5"/>
  <c r="G2804" i="5"/>
  <c r="G2801" i="5"/>
  <c r="G2800" i="5"/>
  <c r="G2799" i="5"/>
  <c r="G2796" i="5"/>
  <c r="G2795" i="5"/>
  <c r="G2794" i="5"/>
  <c r="G2791" i="5"/>
  <c r="G2790" i="5"/>
  <c r="G2789" i="5"/>
  <c r="G2788" i="5"/>
  <c r="G2787" i="5"/>
  <c r="G2784" i="5"/>
  <c r="G2783" i="5"/>
  <c r="G2782" i="5"/>
  <c r="G2779" i="5"/>
  <c r="G2778" i="5"/>
  <c r="G2777" i="5"/>
  <c r="G2774" i="5"/>
  <c r="G2773" i="5"/>
  <c r="G2772" i="5"/>
  <c r="G2769" i="5"/>
  <c r="G2768" i="5"/>
  <c r="G2767" i="5"/>
  <c r="G2759" i="5"/>
  <c r="G2758" i="5"/>
  <c r="G2747" i="5"/>
  <c r="G2743" i="5"/>
  <c r="G2742" i="5"/>
  <c r="G2741" i="5"/>
  <c r="G2733" i="5"/>
  <c r="G2732" i="5"/>
  <c r="G2731" i="5"/>
  <c r="G2728" i="5"/>
  <c r="G2727" i="5"/>
  <c r="G2714" i="5"/>
  <c r="G2713" i="5"/>
  <c r="G2712" i="5"/>
  <c r="E2711" i="5"/>
  <c r="G2710" i="5"/>
  <c r="G2709" i="5"/>
  <c r="G2708" i="5"/>
  <c r="G2707" i="5"/>
  <c r="G2706" i="5"/>
  <c r="E2705" i="5"/>
  <c r="G2704" i="5"/>
  <c r="G2703" i="5"/>
  <c r="G2702" i="5"/>
  <c r="G2701" i="5"/>
  <c r="G2700" i="5"/>
  <c r="E2699" i="5"/>
  <c r="G2698" i="5"/>
  <c r="G2697" i="5"/>
  <c r="G2696" i="5"/>
  <c r="G2695" i="5"/>
  <c r="G2694" i="5"/>
  <c r="E2693" i="5"/>
  <c r="G2692" i="5"/>
  <c r="G2691" i="5"/>
  <c r="G2690" i="5"/>
  <c r="G2689" i="5"/>
  <c r="G2688" i="5"/>
  <c r="E2687" i="5"/>
  <c r="G2686" i="5"/>
  <c r="G2685" i="5"/>
  <c r="G2684" i="5"/>
  <c r="G2683" i="5"/>
  <c r="G2682" i="5"/>
  <c r="E2681" i="5"/>
  <c r="G2680" i="5"/>
  <c r="G2679" i="5"/>
  <c r="G2678" i="5"/>
  <c r="G2677" i="5"/>
  <c r="G2676" i="5"/>
  <c r="E2675" i="5"/>
  <c r="G2674" i="5"/>
  <c r="G2673" i="5"/>
  <c r="G2672" i="5"/>
  <c r="G2671" i="5"/>
  <c r="G2670" i="5"/>
  <c r="E2669" i="5"/>
  <c r="G2668" i="5"/>
  <c r="G2667" i="5"/>
  <c r="G2666" i="5"/>
  <c r="G2665" i="5"/>
  <c r="G2664" i="5"/>
  <c r="E2663" i="5"/>
  <c r="G2662" i="5"/>
  <c r="G2661" i="5"/>
  <c r="G2660" i="5"/>
  <c r="G2659" i="5"/>
  <c r="G2658" i="5"/>
  <c r="E2657" i="5"/>
  <c r="G2656" i="5"/>
  <c r="G2655" i="5"/>
  <c r="G2650" i="5"/>
  <c r="G2648" i="5"/>
  <c r="G2642" i="5"/>
  <c r="G2640" i="5"/>
  <c r="G2639" i="5"/>
  <c r="G2638" i="5"/>
  <c r="G2636" i="5"/>
  <c r="G2635" i="5"/>
  <c r="G2634" i="5"/>
  <c r="G2632" i="5"/>
  <c r="G2631" i="5"/>
  <c r="G2630" i="5"/>
  <c r="G2628" i="5"/>
  <c r="G2627" i="5"/>
  <c r="G2626" i="5"/>
  <c r="G2624" i="5"/>
  <c r="G2623" i="5"/>
  <c r="G2622" i="5"/>
  <c r="G2620" i="5"/>
  <c r="G2619" i="5"/>
  <c r="G2618" i="5"/>
  <c r="G2616" i="5"/>
  <c r="G2615" i="5"/>
  <c r="G2614" i="5"/>
  <c r="G2612" i="5"/>
  <c r="G2611" i="5"/>
  <c r="G2610" i="5"/>
  <c r="G2608" i="5"/>
  <c r="G2607" i="5"/>
  <c r="G2606" i="5"/>
  <c r="G2604" i="5"/>
  <c r="G2603" i="5"/>
  <c r="G2602" i="5"/>
  <c r="E2601" i="5"/>
  <c r="G2600" i="5"/>
  <c r="G2599" i="5"/>
  <c r="G2598" i="5"/>
  <c r="G2597" i="5"/>
  <c r="G2596" i="5"/>
  <c r="E2595" i="5"/>
  <c r="E2594" i="5"/>
  <c r="G2592" i="5"/>
  <c r="G2591" i="5"/>
  <c r="G2590" i="5"/>
  <c r="G2589" i="5"/>
  <c r="G2588" i="5"/>
  <c r="E2587" i="5"/>
  <c r="E2586" i="5"/>
  <c r="G2584" i="5"/>
  <c r="G2583" i="5"/>
  <c r="G2582" i="5"/>
  <c r="G2581" i="5"/>
  <c r="G2580" i="5"/>
  <c r="E2579" i="5"/>
  <c r="E2578" i="5"/>
  <c r="G2576" i="5"/>
  <c r="G2575" i="5"/>
  <c r="G2574" i="5"/>
  <c r="G2572" i="5"/>
  <c r="G2571" i="5"/>
  <c r="G2570" i="5"/>
  <c r="G2568" i="5"/>
  <c r="G2567" i="5"/>
  <c r="G2566" i="5"/>
  <c r="G2564" i="5"/>
  <c r="G2563" i="5"/>
  <c r="G2562" i="5"/>
  <c r="G2560" i="5"/>
  <c r="G2559" i="5"/>
  <c r="G2558" i="5"/>
  <c r="G2556" i="5"/>
  <c r="G2555" i="5"/>
  <c r="G2438" i="5"/>
  <c r="G2436" i="5"/>
  <c r="G2435" i="5"/>
  <c r="G2410" i="5"/>
  <c r="G2408" i="5"/>
  <c r="G2398" i="5"/>
  <c r="G2394" i="5"/>
  <c r="G2393" i="5"/>
  <c r="G2392" i="5"/>
  <c r="G2387" i="5"/>
  <c r="G2386" i="5"/>
  <c r="G2385" i="5"/>
  <c r="G2381" i="5"/>
  <c r="G2380" i="5"/>
  <c r="G2379" i="5"/>
  <c r="E2376" i="5"/>
  <c r="E2375" i="5"/>
  <c r="G2374" i="5"/>
  <c r="G2373" i="5"/>
  <c r="G2372" i="5"/>
  <c r="E2371" i="5"/>
  <c r="E2370" i="5"/>
  <c r="G2366" i="5"/>
  <c r="G2365" i="5"/>
  <c r="G2364" i="5"/>
  <c r="G2360" i="5"/>
  <c r="G2359" i="5"/>
  <c r="G2358" i="5"/>
  <c r="E2356" i="5"/>
  <c r="G2355" i="5"/>
  <c r="G2354" i="5"/>
  <c r="G2353" i="5"/>
  <c r="G2350" i="5"/>
  <c r="G2349" i="5"/>
  <c r="G2348" i="5"/>
  <c r="G2345" i="5"/>
  <c r="G2344" i="5"/>
  <c r="G2343" i="5"/>
  <c r="G2339" i="5"/>
  <c r="G2338" i="5"/>
  <c r="G2337" i="5"/>
  <c r="G2333" i="5"/>
  <c r="G2332" i="5"/>
  <c r="G2331" i="5"/>
  <c r="G2327" i="5"/>
  <c r="G2326" i="5"/>
  <c r="G2325" i="5"/>
  <c r="G2321" i="5"/>
  <c r="G2320" i="5"/>
  <c r="G2319" i="5"/>
  <c r="G2314" i="5"/>
  <c r="G2313" i="5"/>
  <c r="G2312" i="5"/>
  <c r="G2307" i="5"/>
  <c r="G2306" i="5"/>
  <c r="G2305" i="5"/>
  <c r="G2297" i="5"/>
  <c r="G2296" i="5"/>
  <c r="G2295" i="5"/>
  <c r="G2287" i="5"/>
  <c r="G2286" i="5"/>
  <c r="G2285" i="5"/>
  <c r="G2277" i="5"/>
  <c r="G2275" i="5"/>
  <c r="G2267" i="5"/>
  <c r="G2265" i="5"/>
  <c r="G2257" i="5"/>
  <c r="G2256" i="5"/>
  <c r="G2255" i="5"/>
  <c r="G2251" i="5"/>
  <c r="G2250" i="5"/>
  <c r="G2249" i="5"/>
  <c r="G2237" i="5"/>
  <c r="G2236" i="5"/>
  <c r="G2235" i="5"/>
  <c r="G2231" i="5"/>
  <c r="G2230" i="5"/>
  <c r="G2229" i="5"/>
  <c r="G2225" i="5"/>
  <c r="G2224" i="5"/>
  <c r="G2223" i="5"/>
  <c r="G2219" i="5"/>
  <c r="G2218" i="5"/>
  <c r="G2217" i="5"/>
  <c r="E2214" i="5"/>
  <c r="G2212" i="5"/>
  <c r="G2211" i="5"/>
  <c r="G2210" i="5"/>
  <c r="G2207" i="5"/>
  <c r="G2206" i="5"/>
  <c r="G2205" i="5"/>
  <c r="G2204" i="5"/>
  <c r="G2203" i="5"/>
  <c r="E2202" i="5"/>
  <c r="E2201" i="5"/>
  <c r="G2199" i="5"/>
  <c r="G2198" i="5"/>
  <c r="G2197" i="5"/>
  <c r="G2196" i="5"/>
  <c r="G2195" i="5"/>
  <c r="E2194" i="5"/>
  <c r="E2193" i="5"/>
  <c r="G2191" i="5"/>
  <c r="G2190" i="5"/>
  <c r="G2189" i="5"/>
  <c r="G2188" i="5"/>
  <c r="G2187" i="5"/>
  <c r="E2186" i="5"/>
  <c r="E2185" i="5"/>
  <c r="G2183" i="5"/>
  <c r="G2181" i="5"/>
  <c r="G2180" i="5"/>
  <c r="G2179" i="5"/>
  <c r="E2178" i="5"/>
  <c r="E2177" i="5"/>
  <c r="G2175" i="5"/>
  <c r="G2173" i="5"/>
  <c r="G2172" i="5"/>
  <c r="G2171" i="5"/>
  <c r="E2170" i="5"/>
  <c r="E2169" i="5"/>
  <c r="G2167" i="5"/>
  <c r="G2166" i="5"/>
  <c r="G2165" i="5"/>
  <c r="G2164" i="5"/>
  <c r="G2163" i="5"/>
  <c r="E2162" i="5"/>
  <c r="E2161" i="5"/>
  <c r="G2159" i="5"/>
  <c r="G2158" i="5"/>
  <c r="G2157" i="5"/>
  <c r="G2156" i="5"/>
  <c r="G2155" i="5"/>
  <c r="E2154" i="5"/>
  <c r="E2153" i="5"/>
  <c r="G2151" i="5"/>
  <c r="G2149" i="5"/>
  <c r="G2148" i="5"/>
  <c r="G2147" i="5"/>
  <c r="E2146" i="5"/>
  <c r="E2145" i="5"/>
  <c r="G2143" i="5"/>
  <c r="G2142" i="5"/>
  <c r="G2141" i="5"/>
  <c r="G2137" i="5"/>
  <c r="G2135" i="5"/>
  <c r="G2131" i="5"/>
  <c r="G2130" i="5"/>
  <c r="G2129" i="5"/>
  <c r="G2125" i="5"/>
  <c r="G2124" i="5"/>
  <c r="G2123" i="5"/>
  <c r="G2119" i="5"/>
  <c r="G2117" i="5"/>
  <c r="G2113" i="5"/>
  <c r="G2112" i="5"/>
  <c r="G2111" i="5"/>
  <c r="G2110" i="5"/>
  <c r="G2109" i="5"/>
  <c r="E2108" i="5"/>
  <c r="E2107" i="5"/>
  <c r="G2105" i="5"/>
  <c r="G2103" i="5"/>
  <c r="G2102" i="5"/>
  <c r="G2101" i="5"/>
  <c r="E2100" i="5"/>
  <c r="E2099" i="5"/>
  <c r="G2097" i="5"/>
  <c r="G2096" i="5"/>
  <c r="G2095" i="5"/>
  <c r="G2094" i="5"/>
  <c r="G2093" i="5"/>
  <c r="E2092" i="5"/>
  <c r="E2091" i="5"/>
  <c r="G2089" i="5"/>
  <c r="G2088" i="5"/>
  <c r="G2087" i="5"/>
  <c r="G2086" i="5"/>
  <c r="G2085" i="5"/>
  <c r="E2084" i="5"/>
  <c r="E2083" i="5"/>
  <c r="G2081" i="5"/>
  <c r="G2080" i="5"/>
  <c r="G2079" i="5"/>
  <c r="G2078" i="5"/>
  <c r="G2077" i="5"/>
  <c r="E2076" i="5"/>
  <c r="E2075" i="5"/>
  <c r="G2073" i="5"/>
  <c r="G2071" i="5"/>
  <c r="G2070" i="5"/>
  <c r="G2069" i="5"/>
  <c r="E2068" i="5"/>
  <c r="E2067" i="5"/>
  <c r="G2065" i="5"/>
  <c r="G2064" i="5"/>
  <c r="G2063" i="5"/>
  <c r="G2062" i="5"/>
  <c r="G2061" i="5"/>
  <c r="E2060" i="5"/>
  <c r="E2059" i="5"/>
  <c r="G2057" i="5"/>
  <c r="G2055" i="5"/>
  <c r="G2054" i="5"/>
  <c r="G2053" i="5"/>
  <c r="E2052" i="5"/>
  <c r="E2051" i="5"/>
  <c r="G2049" i="5"/>
  <c r="G2048" i="5"/>
  <c r="G2047" i="5"/>
  <c r="G2046" i="5"/>
  <c r="G2045" i="5"/>
  <c r="E2044" i="5"/>
  <c r="E2043" i="5"/>
  <c r="G2041" i="5"/>
  <c r="G2039" i="5"/>
  <c r="G2038" i="5"/>
  <c r="G2037" i="5"/>
  <c r="E2036" i="5"/>
  <c r="E2035" i="5"/>
  <c r="G2033" i="5"/>
  <c r="G2032" i="5"/>
  <c r="G2031" i="5"/>
  <c r="G2030" i="5"/>
  <c r="G2029" i="5"/>
  <c r="E2028" i="5"/>
  <c r="E2027" i="5"/>
  <c r="G2025" i="5"/>
  <c r="G2023" i="5"/>
  <c r="G2019" i="5"/>
  <c r="G2018" i="5"/>
  <c r="G2017" i="5"/>
  <c r="G2012" i="5"/>
  <c r="G2011" i="5"/>
  <c r="G2010" i="5"/>
  <c r="G2005" i="5"/>
  <c r="G2004" i="5"/>
  <c r="G2003" i="5"/>
  <c r="G1998" i="5"/>
  <c r="G1996" i="5"/>
  <c r="G1991" i="5"/>
  <c r="G1990" i="5"/>
  <c r="G1989" i="5"/>
  <c r="G1983" i="5"/>
  <c r="G1981" i="5"/>
  <c r="G1975" i="5"/>
  <c r="G1974" i="5"/>
  <c r="G1973" i="5"/>
  <c r="G1968" i="5"/>
  <c r="G1966" i="5"/>
  <c r="G1961" i="5"/>
  <c r="G1960" i="5"/>
  <c r="G1959" i="5"/>
  <c r="G1955" i="5"/>
  <c r="G1954" i="5"/>
  <c r="G1953" i="5"/>
  <c r="G1949" i="5"/>
  <c r="G1948" i="5"/>
  <c r="G1947" i="5"/>
  <c r="G1944" i="5"/>
  <c r="G1943" i="5"/>
  <c r="G1942" i="5"/>
  <c r="G1939" i="5"/>
  <c r="G1938" i="5"/>
  <c r="G1937" i="5"/>
  <c r="G1934" i="5"/>
  <c r="G1933" i="5"/>
  <c r="G1932" i="5"/>
  <c r="G1928" i="5"/>
  <c r="G1927" i="5"/>
  <c r="G1926" i="5"/>
  <c r="G1923" i="5"/>
  <c r="G1922" i="5"/>
  <c r="G1921" i="5"/>
  <c r="G1918" i="5"/>
  <c r="G1917" i="5"/>
  <c r="G1916" i="5"/>
  <c r="G1913" i="5"/>
  <c r="G1912" i="5"/>
  <c r="G1911" i="5"/>
  <c r="G1907" i="5"/>
  <c r="G1906" i="5"/>
  <c r="G1905" i="5"/>
  <c r="G1901" i="5"/>
  <c r="G1900" i="5"/>
  <c r="G1899" i="5"/>
  <c r="G1895" i="5"/>
  <c r="G1894" i="5"/>
  <c r="G1893" i="5"/>
  <c r="G1889" i="5"/>
  <c r="G1888" i="5"/>
  <c r="G1887" i="5"/>
  <c r="G1883" i="5"/>
  <c r="G1882" i="5"/>
  <c r="G1881" i="5"/>
  <c r="G1877" i="5"/>
  <c r="G1876" i="5"/>
  <c r="G1875" i="5"/>
  <c r="G1871" i="5"/>
  <c r="G1870" i="5"/>
  <c r="G1869" i="5"/>
  <c r="G1865" i="5"/>
  <c r="G1864" i="5"/>
  <c r="G1863" i="5"/>
  <c r="G1859" i="5"/>
  <c r="G1858" i="5"/>
  <c r="G1857" i="5"/>
  <c r="G1853" i="5"/>
  <c r="G1852" i="5"/>
  <c r="G1851" i="5"/>
  <c r="G1847" i="5"/>
  <c r="G1846" i="5"/>
  <c r="G1845" i="5"/>
  <c r="G1841" i="5"/>
  <c r="G1840" i="5"/>
  <c r="G1839" i="5"/>
  <c r="G1834" i="5"/>
  <c r="G1833" i="5"/>
  <c r="G1832" i="5"/>
  <c r="G1828" i="5"/>
  <c r="G1827" i="5"/>
  <c r="G1826" i="5"/>
  <c r="G1822" i="5"/>
  <c r="G1821" i="5"/>
  <c r="G1820" i="5"/>
  <c r="G1817" i="5"/>
  <c r="G1816" i="5"/>
  <c r="G1815" i="5"/>
  <c r="G1812" i="5"/>
  <c r="G1811" i="5"/>
  <c r="G1810" i="5"/>
  <c r="G1805" i="5"/>
  <c r="G1803" i="5"/>
  <c r="G1798" i="5"/>
  <c r="G1797" i="5"/>
  <c r="G1796" i="5"/>
  <c r="G1791" i="5"/>
  <c r="G1790" i="5"/>
  <c r="G1789" i="5"/>
  <c r="G1784" i="5"/>
  <c r="G1783" i="5"/>
  <c r="G1782" i="5"/>
  <c r="G1777" i="5"/>
  <c r="G1775" i="5"/>
  <c r="G1770" i="5"/>
  <c r="G1769" i="5"/>
  <c r="G1768" i="5"/>
  <c r="G1763" i="5"/>
  <c r="G1762" i="5"/>
  <c r="G1761" i="5"/>
  <c r="G1756" i="5"/>
  <c r="G1755" i="5"/>
  <c r="G1754" i="5"/>
  <c r="G1745" i="5"/>
  <c r="G1744" i="5"/>
  <c r="G1743" i="5"/>
  <c r="G1734" i="5"/>
  <c r="G1733" i="5"/>
  <c r="G1732" i="5"/>
  <c r="G1723" i="5"/>
  <c r="G1722" i="5"/>
  <c r="G1721" i="5"/>
  <c r="G1712" i="5"/>
  <c r="G1711" i="5"/>
  <c r="G1710" i="5"/>
  <c r="G1704" i="5"/>
  <c r="G1703" i="5"/>
  <c r="G1702" i="5"/>
  <c r="G1698" i="5"/>
  <c r="G1697" i="5"/>
  <c r="G1696" i="5"/>
  <c r="G1691" i="5"/>
  <c r="G1690" i="5"/>
  <c r="G1689" i="5"/>
  <c r="G1684" i="5"/>
  <c r="G1683" i="5"/>
  <c r="G1682" i="5"/>
  <c r="G1678" i="5"/>
  <c r="G1677" i="5"/>
  <c r="G1676" i="5"/>
  <c r="G1673" i="5"/>
  <c r="G1672" i="5"/>
  <c r="G1671" i="5"/>
  <c r="G1668" i="5"/>
  <c r="G1667" i="5"/>
  <c r="G1666" i="5"/>
  <c r="G1663" i="5"/>
  <c r="G1662" i="5"/>
  <c r="G1661" i="5"/>
  <c r="E1659" i="5"/>
  <c r="E1658" i="5"/>
  <c r="G1657" i="5"/>
  <c r="G1656" i="5"/>
  <c r="G1655" i="5"/>
  <c r="G1651" i="5"/>
  <c r="G1650" i="5"/>
  <c r="G1649" i="5"/>
  <c r="G1645" i="5"/>
  <c r="G1644" i="5"/>
  <c r="G1643" i="5"/>
  <c r="G1639" i="5"/>
  <c r="G1637" i="5"/>
  <c r="G1634" i="5"/>
  <c r="G1633" i="5"/>
  <c r="G1632" i="5"/>
  <c r="G1628" i="5"/>
  <c r="G1626" i="5"/>
  <c r="G1622" i="5"/>
  <c r="G1621" i="5"/>
  <c r="G1620" i="5"/>
  <c r="G1617" i="5"/>
  <c r="G1616" i="5"/>
  <c r="G1615" i="5"/>
  <c r="E1612" i="5"/>
  <c r="E1611" i="5"/>
  <c r="G1610" i="5"/>
  <c r="G1609" i="5"/>
  <c r="G1608" i="5"/>
  <c r="G1604" i="5"/>
  <c r="G1603" i="5"/>
  <c r="G1602" i="5"/>
  <c r="G1598" i="5"/>
  <c r="G1597" i="5"/>
  <c r="G1596" i="5"/>
  <c r="G1592" i="5"/>
  <c r="G1591" i="5"/>
  <c r="G1590" i="5"/>
  <c r="G1577" i="5"/>
  <c r="G1576" i="5"/>
  <c r="G1575" i="5"/>
  <c r="G1570" i="5"/>
  <c r="G1569" i="5"/>
  <c r="G1568" i="5"/>
  <c r="G1563" i="5"/>
  <c r="G1562" i="5"/>
  <c r="G1561" i="5"/>
  <c r="G1556" i="5"/>
  <c r="G1555" i="5"/>
  <c r="G1554" i="5"/>
  <c r="G1549" i="5"/>
  <c r="G1548" i="5"/>
  <c r="G1547" i="5"/>
  <c r="G1541" i="5"/>
  <c r="G1540" i="5"/>
  <c r="G1539" i="5"/>
  <c r="G1533" i="5"/>
  <c r="G1532" i="5"/>
  <c r="G1531" i="5"/>
  <c r="G1525" i="5"/>
  <c r="G1524" i="5"/>
  <c r="G1523" i="5"/>
  <c r="G1517" i="5"/>
  <c r="G1516" i="5"/>
  <c r="G1515" i="5"/>
  <c r="G1509" i="5"/>
  <c r="G1508" i="5"/>
  <c r="G1507" i="5"/>
  <c r="G1494" i="5"/>
  <c r="G1493" i="5"/>
  <c r="G1492" i="5"/>
  <c r="G1479" i="5"/>
  <c r="G1478" i="5"/>
  <c r="G1477" i="5"/>
  <c r="G1464" i="5"/>
  <c r="G1463" i="5"/>
  <c r="G1462" i="5"/>
  <c r="G1449" i="5"/>
  <c r="G1448" i="5"/>
  <c r="G1447" i="5"/>
  <c r="G1434" i="5"/>
  <c r="G1433" i="5"/>
  <c r="G1432" i="5"/>
  <c r="G1419" i="5"/>
  <c r="G1418" i="5"/>
  <c r="G1417" i="5"/>
  <c r="G1404" i="5"/>
  <c r="G1403" i="5"/>
  <c r="G1402" i="5"/>
  <c r="G1397" i="5"/>
  <c r="G1396" i="5"/>
  <c r="G1395" i="5"/>
  <c r="G1391" i="5"/>
  <c r="G1390" i="5"/>
  <c r="G1389" i="5"/>
  <c r="G1385" i="5"/>
  <c r="G1384" i="5"/>
  <c r="G1383" i="5"/>
  <c r="G1379" i="5"/>
  <c r="G1378" i="5"/>
  <c r="G1377" i="5"/>
  <c r="G1373" i="5"/>
  <c r="G1372" i="5"/>
  <c r="G1371" i="5"/>
  <c r="G1367" i="5"/>
  <c r="G1366" i="5"/>
  <c r="G1365" i="5"/>
  <c r="G1361" i="5"/>
  <c r="G1360" i="5"/>
  <c r="G1359" i="5"/>
  <c r="G1354" i="5"/>
  <c r="G1353" i="5"/>
  <c r="G1352" i="5"/>
  <c r="G1348" i="5"/>
  <c r="G1347" i="5"/>
  <c r="G1346" i="5"/>
  <c r="G1341" i="5"/>
  <c r="G1339" i="5"/>
  <c r="G1335" i="5"/>
  <c r="G1334" i="5"/>
  <c r="G1333" i="5"/>
  <c r="G1329" i="5"/>
  <c r="G1328" i="5"/>
  <c r="G1327" i="5"/>
  <c r="G1323" i="5"/>
  <c r="G1322" i="5"/>
  <c r="G1321" i="5"/>
  <c r="G1318" i="5"/>
  <c r="G1316" i="5"/>
  <c r="G1309" i="5"/>
  <c r="G1308" i="5"/>
  <c r="G1307" i="5"/>
  <c r="G1301" i="5"/>
  <c r="G1300" i="5"/>
  <c r="G1299" i="5"/>
  <c r="G1294" i="5"/>
  <c r="G1293" i="5"/>
  <c r="G1292" i="5"/>
  <c r="G1287" i="5"/>
  <c r="G1286" i="5"/>
  <c r="G1285" i="5"/>
  <c r="G1280" i="5"/>
  <c r="G1279" i="5"/>
  <c r="G1278" i="5"/>
  <c r="G1273" i="5"/>
  <c r="G1272" i="5"/>
  <c r="G1271" i="5"/>
  <c r="G1267" i="5"/>
  <c r="G1266" i="5"/>
  <c r="G1265" i="5"/>
  <c r="G1260" i="5"/>
  <c r="G1258" i="5"/>
  <c r="G1253" i="5"/>
  <c r="G1252" i="5"/>
  <c r="G1251" i="5"/>
  <c r="G1246" i="5"/>
  <c r="G1245" i="5"/>
  <c r="G1244" i="5"/>
  <c r="G1239" i="5"/>
  <c r="G1238" i="5"/>
  <c r="G1237" i="5"/>
  <c r="G1232" i="5"/>
  <c r="G1231" i="5"/>
  <c r="G1230" i="5"/>
  <c r="G1225" i="5"/>
  <c r="G1224" i="5"/>
  <c r="G1223" i="5"/>
  <c r="G1218" i="5"/>
  <c r="G1217" i="5"/>
  <c r="G1216" i="5"/>
  <c r="G1211" i="5"/>
  <c r="G1210" i="5"/>
  <c r="G1209" i="5"/>
  <c r="G1204" i="5"/>
  <c r="G1203" i="5"/>
  <c r="G1202" i="5"/>
  <c r="G1197" i="5"/>
  <c r="G1196" i="5"/>
  <c r="G1195" i="5"/>
  <c r="G1190" i="5"/>
  <c r="G1189" i="5"/>
  <c r="G1188" i="5"/>
  <c r="G1183" i="5"/>
  <c r="G1182" i="5"/>
  <c r="G1181" i="5"/>
  <c r="G1176" i="5"/>
  <c r="G1174" i="5"/>
  <c r="G1169" i="5"/>
  <c r="G1168" i="5"/>
  <c r="G1167" i="5"/>
  <c r="G1162" i="5"/>
  <c r="G1161" i="5"/>
  <c r="G1160" i="5"/>
  <c r="G1155" i="5"/>
  <c r="G1154" i="5"/>
  <c r="G1153" i="5"/>
  <c r="G1148" i="5"/>
  <c r="G1147" i="5"/>
  <c r="G1146" i="5"/>
  <c r="G1141" i="5"/>
  <c r="G1140" i="5"/>
  <c r="G1139" i="5"/>
  <c r="G1134" i="5"/>
  <c r="G1133" i="5"/>
  <c r="G1132" i="5"/>
  <c r="G1129" i="5"/>
  <c r="G1128" i="5"/>
  <c r="G1127" i="5"/>
  <c r="G1123" i="5"/>
  <c r="G1122" i="5"/>
  <c r="G1121" i="5"/>
  <c r="G1118" i="5"/>
  <c r="G1117" i="5"/>
  <c r="G1116" i="5"/>
  <c r="G1113" i="5"/>
  <c r="G1112" i="5"/>
  <c r="G1111" i="5"/>
  <c r="G1105" i="5"/>
  <c r="G1104" i="5"/>
  <c r="G1103" i="5"/>
  <c r="G1102" i="5"/>
  <c r="G1101" i="5"/>
  <c r="E1100" i="5"/>
  <c r="E1099" i="5"/>
  <c r="E1098" i="5"/>
  <c r="G1095" i="5"/>
  <c r="G1094" i="5"/>
  <c r="G1093" i="5"/>
  <c r="G1087" i="5"/>
  <c r="G1086" i="5"/>
  <c r="G1085" i="5"/>
  <c r="G1079" i="5"/>
  <c r="G1078" i="5"/>
  <c r="G1077" i="5"/>
  <c r="G1076" i="5"/>
  <c r="G1075" i="5"/>
  <c r="E1074" i="5"/>
  <c r="E1073" i="5"/>
  <c r="G1070" i="5"/>
  <c r="G1069" i="5"/>
  <c r="G1068" i="5"/>
  <c r="G1063" i="5"/>
  <c r="G1062" i="5"/>
  <c r="G1061" i="5"/>
  <c r="G1056" i="5"/>
  <c r="G1054" i="5"/>
  <c r="G1049" i="5"/>
  <c r="G1047" i="5"/>
  <c r="G1042" i="5"/>
  <c r="G1041" i="5"/>
  <c r="G1040" i="5"/>
  <c r="G1033" i="5"/>
  <c r="G1032" i="5"/>
  <c r="G1031" i="5"/>
  <c r="G1023" i="5"/>
  <c r="G1022" i="5"/>
  <c r="G1021" i="5"/>
  <c r="G1018" i="5"/>
  <c r="G1017" i="5"/>
  <c r="G1016" i="5"/>
  <c r="G1009" i="5"/>
  <c r="G1007" i="5"/>
  <c r="G1004" i="5"/>
  <c r="G1003" i="5"/>
  <c r="G1002" i="5"/>
  <c r="G999" i="5"/>
  <c r="G998" i="5"/>
  <c r="G997" i="5"/>
  <c r="G988" i="5"/>
  <c r="G987" i="5"/>
  <c r="G986" i="5"/>
  <c r="G977" i="5"/>
  <c r="G975" i="5"/>
  <c r="G970" i="5"/>
  <c r="G968" i="5"/>
  <c r="G963" i="5"/>
  <c r="G962" i="5"/>
  <c r="G961" i="5"/>
  <c r="G956" i="5"/>
  <c r="G955" i="5"/>
  <c r="G954" i="5"/>
  <c r="G950" i="5"/>
  <c r="G949" i="5"/>
  <c r="G948" i="5"/>
  <c r="G944" i="5"/>
  <c r="G942" i="5"/>
  <c r="G935" i="5"/>
  <c r="G934" i="5"/>
  <c r="G933" i="5"/>
  <c r="G926" i="5"/>
  <c r="G925" i="5"/>
  <c r="G924" i="5"/>
  <c r="G919" i="5"/>
  <c r="G917" i="5"/>
  <c r="G910" i="5"/>
  <c r="G908" i="5"/>
  <c r="G904" i="5"/>
  <c r="G903" i="5"/>
  <c r="G902" i="5"/>
  <c r="E901" i="5"/>
  <c r="G900" i="5"/>
  <c r="G899" i="5"/>
  <c r="G898" i="5"/>
  <c r="G893" i="5"/>
  <c r="G891" i="5"/>
  <c r="E890" i="5"/>
  <c r="E889" i="5"/>
  <c r="G888" i="5"/>
  <c r="G887" i="5"/>
  <c r="G886" i="5"/>
  <c r="G882" i="5"/>
  <c r="G880" i="5"/>
  <c r="G876" i="5"/>
  <c r="G875" i="5"/>
  <c r="G874" i="5"/>
  <c r="G873" i="5"/>
  <c r="G872" i="5"/>
  <c r="E871" i="5"/>
  <c r="E870" i="5"/>
  <c r="G868" i="5"/>
  <c r="G867" i="5"/>
  <c r="G866" i="5"/>
  <c r="G863" i="5"/>
  <c r="G862" i="5"/>
  <c r="G861" i="5"/>
  <c r="G857" i="5"/>
  <c r="G856" i="5"/>
  <c r="G855" i="5"/>
  <c r="E853" i="5"/>
  <c r="G851" i="5"/>
  <c r="G850" i="5"/>
  <c r="G849" i="5"/>
  <c r="G846" i="5"/>
  <c r="G845" i="5"/>
  <c r="G844" i="5"/>
  <c r="G840" i="5"/>
  <c r="G839" i="5"/>
  <c r="G838" i="5"/>
  <c r="G833" i="5"/>
  <c r="G831" i="5"/>
  <c r="G828" i="5"/>
  <c r="G827" i="5"/>
  <c r="G826" i="5"/>
  <c r="E825" i="5"/>
  <c r="G824" i="5"/>
  <c r="G822" i="5"/>
  <c r="E820" i="5"/>
  <c r="G819" i="5"/>
  <c r="G818" i="5"/>
  <c r="G817" i="5"/>
  <c r="G815" i="5"/>
  <c r="G814" i="5"/>
  <c r="G813" i="5"/>
  <c r="G805" i="5"/>
  <c r="G804" i="5"/>
  <c r="G803" i="5"/>
  <c r="G791" i="5"/>
  <c r="G789" i="5"/>
  <c r="G784" i="5"/>
  <c r="G783" i="5"/>
  <c r="G782" i="5"/>
  <c r="G773" i="5"/>
  <c r="G772" i="5"/>
  <c r="G771" i="5"/>
  <c r="E770" i="5"/>
  <c r="G767" i="5"/>
  <c r="G766" i="5"/>
  <c r="G765" i="5"/>
  <c r="G756" i="5"/>
  <c r="G755" i="5"/>
  <c r="G754" i="5"/>
  <c r="E751" i="5"/>
  <c r="E750" i="5"/>
  <c r="G749" i="5"/>
  <c r="G748" i="5"/>
  <c r="G747" i="5"/>
  <c r="G745" i="5"/>
  <c r="G744" i="5"/>
  <c r="G743" i="5"/>
  <c r="E738" i="5"/>
  <c r="G737" i="5"/>
  <c r="G735" i="5"/>
  <c r="G731" i="5"/>
  <c r="G729" i="5"/>
  <c r="E728" i="5"/>
  <c r="E727" i="5"/>
  <c r="E726" i="5"/>
  <c r="E725" i="5"/>
  <c r="G724" i="5"/>
  <c r="G722" i="5"/>
  <c r="G715" i="5"/>
  <c r="G713" i="5"/>
  <c r="G705" i="5"/>
  <c r="G704" i="5"/>
  <c r="G703" i="5"/>
  <c r="E702" i="5"/>
  <c r="E701" i="5"/>
  <c r="E700" i="5"/>
  <c r="E699" i="5"/>
  <c r="E698" i="5"/>
  <c r="G697" i="5"/>
  <c r="G696" i="5"/>
  <c r="G695" i="5"/>
  <c r="G687" i="5"/>
  <c r="G686" i="5"/>
  <c r="G685" i="5"/>
  <c r="G677" i="5"/>
  <c r="G675" i="5"/>
  <c r="E674" i="5"/>
  <c r="E673" i="5"/>
  <c r="E672" i="5"/>
  <c r="E671" i="5"/>
  <c r="E670" i="5"/>
  <c r="G669" i="5"/>
  <c r="G667" i="5"/>
  <c r="G665" i="5"/>
  <c r="G664" i="5"/>
  <c r="G663" i="5"/>
  <c r="G661" i="5"/>
  <c r="G660" i="5"/>
  <c r="G659" i="5"/>
  <c r="G657" i="5"/>
  <c r="G656" i="5"/>
  <c r="G655" i="5"/>
  <c r="G653" i="5"/>
  <c r="G652" i="5"/>
  <c r="G651" i="5"/>
  <c r="G649" i="5"/>
  <c r="G648" i="5"/>
  <c r="G647" i="5"/>
  <c r="G645" i="5"/>
  <c r="G644" i="5"/>
  <c r="G643" i="5"/>
  <c r="G638" i="5"/>
  <c r="G637" i="5"/>
  <c r="G636" i="5"/>
  <c r="G630" i="5"/>
  <c r="G628" i="5"/>
  <c r="G622" i="5"/>
  <c r="G621" i="5"/>
  <c r="G620" i="5"/>
  <c r="G616" i="5"/>
  <c r="G615" i="5"/>
  <c r="G614" i="5"/>
  <c r="G613" i="5"/>
  <c r="G612" i="5"/>
  <c r="E611" i="5"/>
  <c r="E610" i="5"/>
  <c r="E609" i="5"/>
  <c r="E608" i="5"/>
  <c r="G607" i="5"/>
  <c r="G605" i="5"/>
  <c r="G604" i="5"/>
  <c r="G603" i="5"/>
  <c r="E602" i="5"/>
  <c r="E601" i="5"/>
  <c r="E600" i="5"/>
  <c r="E599" i="5"/>
  <c r="E598" i="5"/>
  <c r="G597" i="5"/>
  <c r="G595" i="5"/>
  <c r="G589" i="5"/>
  <c r="G588" i="5"/>
  <c r="G587" i="5"/>
  <c r="G586" i="5"/>
  <c r="G585" i="5"/>
  <c r="E584" i="5"/>
  <c r="E583" i="5"/>
  <c r="E582" i="5"/>
  <c r="E581" i="5"/>
  <c r="G580" i="5"/>
  <c r="G579" i="5"/>
  <c r="G578" i="5"/>
  <c r="G577" i="5"/>
  <c r="G576" i="5"/>
  <c r="E575" i="5"/>
  <c r="E574" i="5"/>
  <c r="E573" i="5"/>
  <c r="E572" i="5"/>
  <c r="E571" i="5"/>
  <c r="G570" i="5"/>
  <c r="G568" i="5"/>
  <c r="G562" i="5"/>
  <c r="G561" i="5"/>
  <c r="G560" i="5"/>
  <c r="G554" i="5"/>
  <c r="G553" i="5"/>
  <c r="G552" i="5"/>
  <c r="G546" i="5"/>
  <c r="G544" i="5"/>
  <c r="G538" i="5"/>
  <c r="G537" i="5"/>
  <c r="G536" i="5"/>
  <c r="G532" i="5"/>
  <c r="G531" i="5"/>
  <c r="G530" i="5"/>
  <c r="G525" i="5"/>
  <c r="G523" i="5"/>
  <c r="G518" i="5"/>
  <c r="G517" i="5"/>
  <c r="G516" i="5"/>
  <c r="G512" i="5"/>
  <c r="G510" i="5"/>
  <c r="G505" i="5"/>
  <c r="G504" i="5"/>
  <c r="G503" i="5"/>
  <c r="G498" i="5"/>
  <c r="G497" i="5"/>
  <c r="G496" i="5"/>
  <c r="G495" i="5"/>
  <c r="G494" i="5"/>
  <c r="G493" i="5"/>
  <c r="E492" i="5"/>
  <c r="E491" i="5"/>
  <c r="G490" i="5"/>
  <c r="G488" i="5"/>
  <c r="G484" i="5"/>
  <c r="G483" i="5"/>
  <c r="G482" i="5"/>
  <c r="G481" i="5"/>
  <c r="G480" i="5"/>
  <c r="G479" i="5"/>
  <c r="G478" i="5"/>
  <c r="E477" i="5"/>
  <c r="E476" i="5"/>
  <c r="G472" i="5"/>
  <c r="G471" i="5"/>
  <c r="G470" i="5"/>
  <c r="E469" i="5"/>
  <c r="E468" i="5"/>
  <c r="E466" i="5"/>
  <c r="G465" i="5"/>
  <c r="G463" i="5"/>
  <c r="G462" i="5"/>
  <c r="G461" i="5"/>
  <c r="G460" i="5"/>
  <c r="E459" i="5"/>
  <c r="E456" i="5"/>
  <c r="G455" i="5"/>
  <c r="G454" i="5"/>
  <c r="G453" i="5"/>
  <c r="G452" i="5"/>
  <c r="G451" i="5"/>
  <c r="G447" i="5"/>
  <c r="G446" i="5"/>
  <c r="G445" i="5"/>
  <c r="G441" i="5"/>
  <c r="G439" i="5"/>
  <c r="G435" i="5"/>
  <c r="G433" i="5"/>
  <c r="G423" i="5"/>
  <c r="G422" i="5"/>
  <c r="G421" i="5"/>
  <c r="E420" i="5"/>
  <c r="E419" i="5"/>
  <c r="G416" i="5"/>
  <c r="G415" i="5"/>
  <c r="G414" i="5"/>
  <c r="G402" i="5"/>
  <c r="G401" i="5"/>
  <c r="G400" i="5"/>
  <c r="G395" i="5"/>
  <c r="G394" i="5"/>
  <c r="G393" i="5"/>
  <c r="G381" i="5"/>
  <c r="G380" i="5"/>
  <c r="G379" i="5"/>
  <c r="G372" i="5"/>
  <c r="G371" i="5"/>
  <c r="G370" i="5"/>
  <c r="G366" i="5"/>
  <c r="G365" i="5"/>
  <c r="G364" i="5"/>
  <c r="G363" i="5"/>
  <c r="G362" i="5"/>
  <c r="E361" i="5"/>
  <c r="E360" i="5"/>
  <c r="G352" i="5"/>
  <c r="G351" i="5"/>
  <c r="G350" i="5"/>
  <c r="G342" i="5"/>
  <c r="G341" i="5"/>
  <c r="G340" i="5"/>
  <c r="E334" i="5"/>
  <c r="G327" i="5"/>
  <c r="G326" i="5"/>
  <c r="G325" i="5"/>
  <c r="G321" i="5"/>
  <c r="G320" i="5"/>
  <c r="G319" i="5"/>
  <c r="G318" i="5"/>
  <c r="G317" i="5"/>
  <c r="E316" i="5"/>
  <c r="E315" i="5"/>
  <c r="E311" i="5"/>
  <c r="G306" i="5"/>
  <c r="G305" i="5"/>
  <c r="G304" i="5"/>
  <c r="G303" i="5"/>
  <c r="G302" i="5"/>
  <c r="E301" i="5"/>
  <c r="E300" i="5"/>
  <c r="G291" i="5"/>
  <c r="G290" i="5"/>
  <c r="G289" i="5"/>
  <c r="G284" i="5"/>
  <c r="G283" i="5"/>
  <c r="G282" i="5"/>
  <c r="G277" i="5"/>
  <c r="G275" i="5"/>
  <c r="G269" i="5"/>
  <c r="G268" i="5"/>
  <c r="G267" i="5"/>
  <c r="G264" i="5"/>
  <c r="G263" i="5"/>
  <c r="G262" i="5"/>
  <c r="G249" i="5"/>
  <c r="G248" i="5"/>
  <c r="G247" i="5"/>
  <c r="G241" i="5"/>
  <c r="G240" i="5"/>
  <c r="G239" i="5"/>
  <c r="G237" i="5"/>
  <c r="G236" i="5"/>
  <c r="G235" i="5"/>
  <c r="G233" i="5"/>
  <c r="G231" i="5"/>
  <c r="G229" i="5"/>
  <c r="G228" i="5"/>
  <c r="G227" i="5"/>
  <c r="G225" i="5"/>
  <c r="G224" i="5"/>
  <c r="G223" i="5"/>
  <c r="G220" i="5"/>
  <c r="G218" i="5"/>
  <c r="G215" i="5"/>
  <c r="G214" i="5"/>
  <c r="G213" i="5"/>
  <c r="G211" i="5"/>
  <c r="G210" i="5"/>
  <c r="G209" i="5"/>
  <c r="G206" i="5"/>
  <c r="G205" i="5"/>
  <c r="G204" i="5"/>
  <c r="E203" i="5"/>
  <c r="G202" i="5"/>
  <c r="G201" i="5"/>
  <c r="G200" i="5"/>
  <c r="G198" i="5"/>
  <c r="G197" i="5"/>
  <c r="G196" i="5"/>
  <c r="G191" i="5"/>
  <c r="G190" i="5"/>
  <c r="G189" i="5"/>
  <c r="G188" i="5"/>
  <c r="G187" i="5"/>
  <c r="E186" i="5"/>
  <c r="E185" i="5"/>
  <c r="G184" i="5"/>
  <c r="G182" i="5"/>
  <c r="G180" i="5"/>
  <c r="G179" i="5"/>
  <c r="G178" i="5"/>
  <c r="E177" i="5"/>
  <c r="G176" i="5"/>
  <c r="G175" i="5"/>
  <c r="G174" i="5"/>
  <c r="G172" i="5"/>
  <c r="G171" i="5"/>
  <c r="G170" i="5"/>
  <c r="G167" i="5"/>
  <c r="G166" i="5"/>
  <c r="G165" i="5"/>
  <c r="G162" i="5"/>
  <c r="G160" i="5"/>
  <c r="G159" i="5"/>
  <c r="G158" i="5"/>
  <c r="E157" i="5"/>
  <c r="E156" i="5"/>
  <c r="G155" i="5"/>
  <c r="G154" i="5"/>
  <c r="G153" i="5"/>
  <c r="G150" i="5"/>
  <c r="G148" i="5"/>
  <c r="G145" i="5"/>
  <c r="G144" i="5"/>
  <c r="G143" i="5"/>
  <c r="G140" i="5"/>
  <c r="G139" i="5"/>
  <c r="G138" i="5"/>
  <c r="E137" i="5"/>
  <c r="G136" i="5"/>
  <c r="G135" i="5"/>
  <c r="G134" i="5"/>
  <c r="G132" i="5"/>
  <c r="G131" i="5"/>
  <c r="G130" i="5"/>
  <c r="G127" i="5"/>
  <c r="G126" i="5"/>
  <c r="G125" i="5"/>
  <c r="G122" i="5"/>
  <c r="G121" i="5"/>
  <c r="G120" i="5"/>
  <c r="G117" i="5"/>
  <c r="G116" i="5"/>
  <c r="G115" i="5"/>
  <c r="G112" i="5"/>
  <c r="G111" i="5"/>
  <c r="G110" i="5"/>
  <c r="G107" i="5"/>
  <c r="G106" i="5"/>
  <c r="G105" i="5"/>
  <c r="E104" i="5"/>
  <c r="G103" i="5"/>
  <c r="G102" i="5"/>
  <c r="G101" i="5"/>
  <c r="G98" i="5"/>
  <c r="G97" i="5"/>
  <c r="G96" i="5"/>
  <c r="E95" i="5"/>
  <c r="E94" i="5"/>
  <c r="G93" i="5"/>
  <c r="G92" i="5"/>
  <c r="G91" i="5"/>
  <c r="E90" i="5"/>
  <c r="E89" i="5"/>
  <c r="G88" i="5"/>
  <c r="G87" i="5"/>
  <c r="G86" i="5"/>
  <c r="G83" i="5"/>
  <c r="G82" i="5"/>
  <c r="G81" i="5"/>
  <c r="G78" i="5"/>
  <c r="G77" i="5"/>
  <c r="G76" i="5"/>
  <c r="G70" i="5"/>
  <c r="G68" i="5"/>
  <c r="G65" i="5"/>
  <c r="G64" i="5"/>
  <c r="G63" i="5"/>
  <c r="G60" i="5"/>
  <c r="G59" i="5"/>
  <c r="G58" i="5"/>
  <c r="G53" i="5"/>
  <c r="G51" i="5"/>
  <c r="E50" i="5"/>
  <c r="E49" i="5"/>
  <c r="G48" i="5"/>
  <c r="G47" i="5"/>
  <c r="G46" i="5"/>
  <c r="G43" i="5"/>
  <c r="G41" i="5"/>
  <c r="G38" i="5"/>
  <c r="G36" i="5"/>
  <c r="G34" i="5"/>
  <c r="G33" i="5"/>
  <c r="G32" i="5"/>
  <c r="G29" i="5"/>
  <c r="G28" i="5"/>
  <c r="G27" i="5"/>
  <c r="G24" i="5"/>
  <c r="G23" i="5"/>
  <c r="G22" i="5"/>
  <c r="G19" i="5"/>
  <c r="G18" i="5"/>
  <c r="G17" i="5"/>
  <c r="G15" i="5"/>
  <c r="G14" i="5"/>
  <c r="G13" i="5"/>
  <c r="G11" i="5"/>
  <c r="G9" i="5"/>
  <c r="G7" i="5"/>
  <c r="G6" i="5"/>
  <c r="E3608" i="5" l="1"/>
  <c r="B17" i="9"/>
  <c r="F250" i="6"/>
  <c r="F78" i="6"/>
  <c r="F12" i="7"/>
  <c r="F303" i="6"/>
  <c r="F77" i="6"/>
  <c r="F68" i="6"/>
  <c r="F153" i="6"/>
  <c r="F187" i="6"/>
  <c r="F202" i="6"/>
  <c r="F203" i="6"/>
  <c r="F267" i="6"/>
  <c r="F285" i="6"/>
  <c r="F6" i="7"/>
  <c r="F11" i="7"/>
  <c r="F17" i="7"/>
  <c r="F309" i="6"/>
  <c r="F37" i="6"/>
  <c r="F62" i="6"/>
  <c r="F181" i="6"/>
  <c r="F294" i="6"/>
  <c r="F338" i="6"/>
  <c r="F24" i="7"/>
  <c r="F305" i="6"/>
  <c r="F28" i="6"/>
  <c r="F76" i="6"/>
  <c r="F113" i="6"/>
  <c r="F185" i="6"/>
  <c r="F206" i="6"/>
  <c r="F214" i="6"/>
  <c r="F219" i="6"/>
  <c r="F240" i="6"/>
  <c r="F35" i="7"/>
  <c r="F237" i="6"/>
  <c r="F252" i="6"/>
  <c r="F254" i="6"/>
  <c r="F286" i="6"/>
  <c r="F238" i="6"/>
  <c r="F304" i="6"/>
  <c r="F311" i="6"/>
  <c r="F27" i="6"/>
  <c r="F47" i="6"/>
  <c r="F130" i="6"/>
  <c r="F154" i="6"/>
  <c r="F167" i="6"/>
  <c r="F198" i="6"/>
  <c r="F335" i="6"/>
  <c r="F111" i="6"/>
  <c r="F124" i="6"/>
  <c r="F349" i="6"/>
  <c r="F7" i="7"/>
  <c r="F25" i="7"/>
  <c r="F10" i="7"/>
  <c r="F16" i="7"/>
  <c r="F348" i="6"/>
  <c r="F33" i="7"/>
  <c r="F7" i="6"/>
  <c r="F70" i="6"/>
  <c r="F107" i="6"/>
  <c r="F117" i="6"/>
  <c r="F141" i="6"/>
  <c r="F168" i="6"/>
  <c r="F186" i="6"/>
  <c r="F192" i="6"/>
  <c r="F216" i="6"/>
  <c r="F220" i="6"/>
  <c r="F15" i="6"/>
  <c r="F17" i="6"/>
  <c r="F94" i="6"/>
  <c r="F48" i="6"/>
  <c r="F193" i="6"/>
  <c r="F61" i="6"/>
  <c r="F93" i="6"/>
  <c r="F197" i="6"/>
  <c r="F284" i="6"/>
  <c r="F324" i="6"/>
  <c r="F325" i="6"/>
  <c r="F336" i="6"/>
  <c r="F339" i="6"/>
  <c r="F266" i="6"/>
  <c r="F236" i="6"/>
  <c r="F268" i="6"/>
  <c r="F295" i="6"/>
  <c r="F321" i="6"/>
  <c r="F239" i="6"/>
  <c r="F337" i="6"/>
  <c r="F347" i="6"/>
  <c r="F103" i="6"/>
  <c r="F104" i="6"/>
  <c r="F105" i="6"/>
  <c r="F118" i="6"/>
  <c r="F119" i="6"/>
  <c r="F16" i="6"/>
  <c r="F21" i="6"/>
  <c r="F22" i="6"/>
  <c r="F97" i="6"/>
  <c r="F125" i="6"/>
  <c r="F142" i="6"/>
  <c r="F143" i="6"/>
  <c r="F135" i="6"/>
  <c r="F136" i="6"/>
  <c r="F137" i="6"/>
  <c r="F199" i="6"/>
  <c r="F207" i="6"/>
  <c r="F215" i="6"/>
  <c r="F253" i="6"/>
  <c r="F251" i="6"/>
  <c r="F224" i="6"/>
  <c r="F226" i="6"/>
  <c r="F264" i="6"/>
  <c r="F225" i="6"/>
  <c r="F274" i="6"/>
  <c r="F265" i="6"/>
  <c r="F276" i="6"/>
  <c r="F275" i="6"/>
  <c r="F277" i="6"/>
  <c r="F278" i="6"/>
  <c r="F350" i="6"/>
  <c r="F351" i="6"/>
  <c r="F363" i="6"/>
  <c r="G832" i="5"/>
  <c r="G434" i="5"/>
  <c r="G440" i="5"/>
  <c r="G3261" i="5"/>
  <c r="G943" i="5"/>
  <c r="G3254" i="5"/>
  <c r="G730" i="5"/>
  <c r="G1317" i="5"/>
  <c r="G2276" i="5"/>
  <c r="G10" i="5"/>
  <c r="G823" i="5"/>
  <c r="G149" i="5"/>
  <c r="G183" i="5"/>
  <c r="G569" i="5"/>
  <c r="G723" i="5"/>
  <c r="G881" i="5"/>
  <c r="G892" i="5"/>
  <c r="G909" i="5"/>
  <c r="G1008" i="5"/>
  <c r="G1048" i="5"/>
  <c r="G1055" i="5"/>
  <c r="G790" i="5"/>
  <c r="G2150" i="5"/>
  <c r="G3804" i="5"/>
  <c r="G3226" i="5"/>
  <c r="G3632" i="5"/>
  <c r="G3660" i="5"/>
  <c r="G3954" i="5"/>
  <c r="G4298" i="5"/>
  <c r="G3128" i="5"/>
  <c r="G3697" i="5"/>
  <c r="G3969" i="5"/>
  <c r="G4433" i="5"/>
  <c r="G668" i="5"/>
  <c r="G232" i="5"/>
  <c r="G676" i="5"/>
  <c r="G37" i="5"/>
  <c r="G714" i="5"/>
  <c r="G736" i="5"/>
  <c r="G2056" i="5"/>
  <c r="G2266" i="5"/>
  <c r="G1259" i="5"/>
  <c r="G1340" i="5"/>
  <c r="G464" i="5"/>
  <c r="G918" i="5"/>
  <c r="G969" i="5"/>
  <c r="G1175" i="5"/>
  <c r="G2182" i="5"/>
  <c r="G2407" i="5"/>
  <c r="G606" i="5"/>
  <c r="G976" i="5"/>
  <c r="G3656" i="5"/>
  <c r="G3918" i="5"/>
  <c r="G3364" i="5"/>
  <c r="G3546" i="5"/>
  <c r="G219" i="5"/>
  <c r="G489" i="5"/>
  <c r="G596" i="5"/>
  <c r="G69" i="5"/>
  <c r="G161" i="5"/>
  <c r="G276" i="5"/>
  <c r="G511" i="5"/>
  <c r="G524" i="5"/>
  <c r="G545" i="5"/>
  <c r="G629" i="5"/>
  <c r="G2024" i="5"/>
  <c r="G2174" i="5"/>
  <c r="G3155" i="5"/>
  <c r="G3597" i="5"/>
  <c r="G3727" i="5"/>
  <c r="G3999" i="5"/>
  <c r="G3350" i="5"/>
  <c r="G3117" i="5"/>
  <c r="G3282" i="5"/>
  <c r="G3329" i="5"/>
  <c r="G3788" i="5"/>
  <c r="G3233" i="5"/>
  <c r="G3746" i="5"/>
  <c r="G3781" i="5"/>
  <c r="G4519" i="5"/>
  <c r="G42" i="5"/>
  <c r="G52" i="5"/>
  <c r="G1776" i="5"/>
  <c r="G1804" i="5"/>
  <c r="G1627" i="5"/>
  <c r="G1638" i="5"/>
  <c r="G1967" i="5"/>
  <c r="G1982" i="5"/>
  <c r="G1997" i="5"/>
  <c r="G2040" i="5"/>
  <c r="G2072" i="5"/>
  <c r="G2104" i="5"/>
  <c r="G2118" i="5"/>
  <c r="G2136" i="5"/>
  <c r="G2647" i="5"/>
  <c r="E3607" i="5"/>
  <c r="G3845" i="5"/>
  <c r="G141" i="19" l="1"/>
  <c r="G131" i="19"/>
  <c r="G119" i="19"/>
  <c r="G111" i="19"/>
  <c r="G103" i="19"/>
  <c r="G95" i="19"/>
  <c r="G87" i="19"/>
  <c r="G79" i="19"/>
  <c r="G71" i="19"/>
  <c r="G63" i="19"/>
  <c r="G55" i="19"/>
  <c r="G47" i="19"/>
  <c r="G39" i="19"/>
  <c r="G30" i="19"/>
  <c r="G137" i="19"/>
  <c r="G129" i="19"/>
  <c r="G117" i="19"/>
  <c r="G109" i="19"/>
  <c r="G101" i="19"/>
  <c r="G93" i="19"/>
  <c r="G85" i="19"/>
  <c r="G77" i="19"/>
  <c r="G69" i="19"/>
  <c r="G61" i="19"/>
  <c r="G53" i="19"/>
  <c r="G45" i="19"/>
  <c r="G37" i="19"/>
  <c r="G28" i="19"/>
  <c r="G138" i="19"/>
  <c r="G130" i="19"/>
  <c r="G118" i="19"/>
  <c r="G110" i="19"/>
  <c r="G94" i="19"/>
  <c r="G86" i="19"/>
  <c r="G70" i="19"/>
  <c r="G54" i="19"/>
  <c r="G38" i="19"/>
  <c r="G136" i="19"/>
  <c r="G128" i="19"/>
  <c r="G116" i="19"/>
  <c r="G108" i="19"/>
  <c r="G100" i="19"/>
  <c r="G92" i="19"/>
  <c r="G84" i="19"/>
  <c r="G76" i="19"/>
  <c r="G68" i="19"/>
  <c r="G60" i="19"/>
  <c r="G52" i="19"/>
  <c r="G44" i="19"/>
  <c r="G36" i="19"/>
  <c r="G27" i="19"/>
  <c r="G127" i="19"/>
  <c r="G115" i="19"/>
  <c r="G107" i="19"/>
  <c r="G99" i="19"/>
  <c r="G91" i="19"/>
  <c r="G83" i="19"/>
  <c r="G75" i="19"/>
  <c r="G67" i="19"/>
  <c r="G59" i="19"/>
  <c r="G51" i="19"/>
  <c r="G43" i="19"/>
  <c r="G35" i="19"/>
  <c r="G26" i="19"/>
  <c r="G126" i="19"/>
  <c r="G114" i="19"/>
  <c r="G106" i="19"/>
  <c r="G98" i="19"/>
  <c r="G90" i="19"/>
  <c r="G82" i="19"/>
  <c r="G74" i="19"/>
  <c r="G66" i="19"/>
  <c r="G58" i="19"/>
  <c r="G50" i="19"/>
  <c r="G42" i="19"/>
  <c r="G34" i="19"/>
  <c r="G8" i="19"/>
  <c r="G112" i="19"/>
  <c r="G72" i="19"/>
  <c r="G48" i="19"/>
  <c r="G135" i="19"/>
  <c r="G40" i="19"/>
  <c r="G134" i="19"/>
  <c r="G62" i="19"/>
  <c r="G133" i="19"/>
  <c r="G125" i="19"/>
  <c r="G113" i="19"/>
  <c r="G105" i="19"/>
  <c r="G97" i="19"/>
  <c r="G89" i="19"/>
  <c r="G81" i="19"/>
  <c r="G73" i="19"/>
  <c r="G65" i="19"/>
  <c r="G57" i="19"/>
  <c r="G49" i="19"/>
  <c r="G41" i="19"/>
  <c r="G33" i="19"/>
  <c r="G7" i="19"/>
  <c r="G124" i="19"/>
  <c r="G104" i="19"/>
  <c r="G96" i="19"/>
  <c r="G88" i="19"/>
  <c r="G80" i="19"/>
  <c r="G64" i="19"/>
  <c r="G56" i="19"/>
  <c r="G32" i="19"/>
  <c r="G132" i="19"/>
  <c r="G102" i="19"/>
  <c r="G78" i="19"/>
  <c r="G46" i="19"/>
  <c r="G29" i="19"/>
  <c r="G3637" i="5"/>
  <c r="G4293" i="5"/>
  <c r="G6101" i="5" l="1"/>
  <c r="G5316" i="5"/>
  <c r="G5319" i="5"/>
  <c r="G5318" i="5"/>
  <c r="G5965" i="5"/>
  <c r="G5964" i="5"/>
  <c r="G6011" i="5"/>
  <c r="G6031" i="5"/>
  <c r="G6035" i="5"/>
  <c r="G6039" i="5"/>
  <c r="G6080" i="5"/>
  <c r="G5978" i="5"/>
  <c r="G5995" i="5"/>
  <c r="G6022" i="5"/>
  <c r="G6068" i="5"/>
  <c r="G6100" i="5"/>
  <c r="G5969" i="5"/>
  <c r="G5973" i="5"/>
  <c r="G5990" i="5"/>
  <c r="G6012" i="5"/>
  <c r="G6032" i="5"/>
  <c r="G6036" i="5"/>
  <c r="G6040" i="5"/>
  <c r="G6081" i="5"/>
  <c r="G5996" i="5"/>
  <c r="G6003" i="5"/>
  <c r="G6023" i="5"/>
  <c r="G5974" i="5"/>
  <c r="G5991" i="5"/>
  <c r="G6007" i="5"/>
  <c r="G6013" i="5"/>
  <c r="G6033" i="5"/>
  <c r="G6037" i="5"/>
  <c r="G6082" i="5"/>
  <c r="G6086" i="5"/>
  <c r="G5980" i="5"/>
  <c r="G6020" i="5"/>
  <c r="G6024" i="5"/>
  <c r="G5981" i="5"/>
  <c r="G6021" i="5"/>
  <c r="G6025" i="5"/>
  <c r="G6067" i="5"/>
  <c r="G6087" i="5"/>
  <c r="G6083" i="5"/>
  <c r="G6034" i="5"/>
  <c r="G6079" i="5"/>
  <c r="G6004" i="5"/>
  <c r="G6109" i="5"/>
  <c r="G6014" i="5"/>
  <c r="G6038" i="5"/>
  <c r="G6060" i="5"/>
  <c r="G6094" i="5"/>
  <c r="G5998" i="5"/>
  <c r="G6059" i="5"/>
  <c r="G6016" i="5"/>
  <c r="G5971" i="5"/>
  <c r="G6006" i="5"/>
  <c r="G6074" i="5"/>
  <c r="G6111" i="5"/>
  <c r="G6043" i="5"/>
  <c r="G6096" i="5"/>
  <c r="G6110" i="5"/>
  <c r="G5982" i="5"/>
  <c r="G6095" i="5"/>
  <c r="G5979" i="5"/>
  <c r="G5989" i="5"/>
  <c r="G6042" i="5"/>
  <c r="G6065" i="5"/>
  <c r="G6085" i="5"/>
  <c r="G6116" i="5"/>
  <c r="G5970" i="5"/>
  <c r="G6015" i="5"/>
  <c r="G6069" i="5"/>
  <c r="G6075" i="5"/>
  <c r="G6084" i="5"/>
  <c r="G6117" i="5"/>
  <c r="G5972" i="5"/>
  <c r="G5997" i="5"/>
  <c r="G6005" i="5"/>
  <c r="G6066" i="5"/>
  <c r="G6070" i="5"/>
  <c r="G6097" i="5"/>
  <c r="G6099" i="5"/>
  <c r="G6098" i="5"/>
  <c r="G6058" i="5"/>
  <c r="G6055" i="5"/>
  <c r="G6093" i="5"/>
  <c r="G6061" i="5"/>
  <c r="G6056" i="5"/>
  <c r="G6057" i="5"/>
  <c r="G5277" i="5"/>
  <c r="G5276" i="5"/>
  <c r="G5282" i="5"/>
  <c r="G5302" i="5"/>
  <c r="G5283" i="5"/>
  <c r="G5295" i="5"/>
  <c r="G5301" i="5"/>
  <c r="G5296" i="5"/>
  <c r="G5264" i="5"/>
  <c r="G5211" i="5"/>
  <c r="G5233" i="5"/>
  <c r="G5268" i="5"/>
  <c r="G5265" i="5"/>
  <c r="G5217" i="5"/>
  <c r="G5249" i="5"/>
  <c r="G5307" i="5"/>
  <c r="G5312" i="5"/>
  <c r="G5240" i="5"/>
  <c r="G5248" i="5"/>
  <c r="G5255" i="5"/>
  <c r="G5288" i="5"/>
  <c r="G5239" i="5"/>
  <c r="G5234" i="5"/>
  <c r="G5246" i="5"/>
  <c r="G5238" i="5"/>
  <c r="G5267" i="5"/>
  <c r="G5226" i="5"/>
  <c r="G5306" i="5"/>
  <c r="G5263" i="5"/>
  <c r="G5253" i="5"/>
  <c r="G5210" i="5"/>
  <c r="G5287" i="5"/>
  <c r="G5247" i="5"/>
  <c r="G5216" i="5"/>
  <c r="G5225" i="5"/>
  <c r="G5294" i="5"/>
  <c r="G5230" i="5"/>
  <c r="G5242" i="5"/>
  <c r="G5241" i="5"/>
  <c r="H15" i="19"/>
  <c r="G5178" i="5"/>
  <c r="G5192" i="5"/>
  <c r="G5186" i="5"/>
  <c r="G5198" i="5"/>
  <c r="G5204" i="5"/>
  <c r="G5193" i="5"/>
  <c r="G5089" i="5"/>
  <c r="G5141" i="5"/>
  <c r="G5185" i="5"/>
  <c r="G5179" i="5"/>
  <c r="G5177" i="5"/>
  <c r="G5203" i="5"/>
  <c r="G5199" i="5"/>
  <c r="G5142" i="5"/>
  <c r="G5184" i="5"/>
  <c r="G692" i="5"/>
  <c r="G2738" i="5"/>
  <c r="G2764" i="5"/>
  <c r="G2737" i="5"/>
  <c r="G2763" i="5"/>
  <c r="G4344" i="5"/>
  <c r="G693" i="5"/>
  <c r="G3849" i="5"/>
  <c r="G877" i="5"/>
  <c r="G118" i="5"/>
  <c r="G2948" i="5"/>
  <c r="G2947" i="5"/>
  <c r="G860" i="5"/>
  <c r="G4140" i="5"/>
  <c r="G2739" i="5"/>
  <c r="G3026" i="5"/>
  <c r="G3638" i="5"/>
  <c r="G2949" i="5"/>
  <c r="G864" i="5"/>
  <c r="G3121" i="5"/>
  <c r="G3850" i="5"/>
  <c r="G4139" i="5"/>
  <c r="G119" i="5"/>
  <c r="G4343" i="5"/>
  <c r="G2740" i="5"/>
  <c r="G883" i="5"/>
  <c r="G2736" i="5"/>
  <c r="G2762" i="5"/>
  <c r="G3120" i="5"/>
  <c r="G3639" i="5"/>
  <c r="G5495" i="5"/>
  <c r="G5463" i="5"/>
  <c r="G5475" i="5"/>
  <c r="G5523" i="5"/>
  <c r="G5519" i="5"/>
  <c r="G5487" i="5"/>
  <c r="G5531" i="5"/>
  <c r="G5499" i="5"/>
  <c r="G5511" i="5"/>
  <c r="G5447" i="5"/>
  <c r="G5483" i="5"/>
  <c r="G5543" i="5"/>
  <c r="G5459" i="5"/>
  <c r="G5535" i="5"/>
  <c r="G5471" i="5"/>
  <c r="G5507" i="5"/>
  <c r="G5944" i="5"/>
  <c r="G5707" i="5"/>
  <c r="G5779" i="5"/>
  <c r="G5583" i="5"/>
  <c r="G5895" i="5"/>
  <c r="G5671" i="5"/>
  <c r="G5595" i="5"/>
  <c r="G5831" i="5"/>
  <c r="G5887" i="5"/>
  <c r="G5651" i="5"/>
  <c r="G5579" i="5"/>
  <c r="G5775" i="5"/>
  <c r="G5148" i="5"/>
  <c r="G5154" i="5"/>
  <c r="G5363" i="5"/>
  <c r="G5381" i="5"/>
  <c r="G5803" i="5"/>
  <c r="G5907" i="5"/>
  <c r="G5743" i="5"/>
  <c r="G5667" i="5"/>
  <c r="G5711" i="5"/>
  <c r="G2721" i="5"/>
  <c r="G5723" i="5"/>
  <c r="G5799" i="5"/>
  <c r="G5679" i="5"/>
  <c r="G5172" i="5"/>
  <c r="G5599" i="5"/>
  <c r="G5879" i="5"/>
  <c r="G5639" i="5"/>
  <c r="G5931" i="5"/>
  <c r="G5393" i="5"/>
  <c r="G5166" i="5"/>
  <c r="G5339" i="5"/>
  <c r="G5643" i="5"/>
  <c r="G5751" i="5"/>
  <c r="G5747" i="5"/>
  <c r="G5623" i="5"/>
  <c r="G5703" i="5"/>
  <c r="G5539" i="5"/>
  <c r="G5827" i="5"/>
  <c r="G5911" i="5"/>
  <c r="G5687" i="5"/>
  <c r="G5647" i="5"/>
  <c r="G5173" i="5"/>
  <c r="G5369" i="5"/>
  <c r="G5351" i="5"/>
  <c r="G5405" i="5"/>
  <c r="G5147" i="5"/>
  <c r="G5771" i="5"/>
  <c r="G5875" i="5"/>
  <c r="G5591" i="5"/>
  <c r="G5659" i="5"/>
  <c r="G5903" i="5"/>
  <c r="G5927" i="5"/>
  <c r="G2717" i="5"/>
  <c r="G5491" i="5"/>
  <c r="G5935" i="5"/>
  <c r="G5735" i="5"/>
  <c r="G5819" i="5"/>
  <c r="G5767" i="5"/>
  <c r="G5915" i="5"/>
  <c r="G5763" i="5"/>
  <c r="G5515" i="5"/>
  <c r="G5429" i="5"/>
  <c r="G5943" i="5"/>
  <c r="G5399" i="5"/>
  <c r="G5423" i="5"/>
  <c r="G5699" i="5"/>
  <c r="G5635" i="5"/>
  <c r="G5619" i="5"/>
  <c r="G5795" i="5"/>
  <c r="G5675" i="5"/>
  <c r="G5883" i="5"/>
  <c r="G5171" i="5"/>
  <c r="G5153" i="5"/>
  <c r="G5160" i="5"/>
  <c r="G5345" i="5"/>
  <c r="G5611" i="5"/>
  <c r="G5739" i="5"/>
  <c r="G5815" i="5"/>
  <c r="G5527" i="5"/>
  <c r="G5959" i="5"/>
  <c r="G5823" i="5"/>
  <c r="G5871" i="5"/>
  <c r="G5691" i="5"/>
  <c r="G5791" i="5"/>
  <c r="G5787" i="5"/>
  <c r="G5451" i="5"/>
  <c r="G5655" i="5"/>
  <c r="G5759" i="5"/>
  <c r="G5731" i="5"/>
  <c r="G5503" i="5"/>
  <c r="G5923" i="5"/>
  <c r="G5603" i="5"/>
  <c r="G5417" i="5"/>
  <c r="G5170" i="5"/>
  <c r="G5327" i="5"/>
  <c r="G5411" i="5"/>
  <c r="G5919" i="5"/>
  <c r="G5719" i="5"/>
  <c r="G5587" i="5"/>
  <c r="G5715" i="5"/>
  <c r="G5615" i="5"/>
  <c r="G5455" i="5"/>
  <c r="G5627" i="5"/>
  <c r="G5479" i="5"/>
  <c r="G5683" i="5"/>
  <c r="G5955" i="5"/>
  <c r="G5727" i="5"/>
  <c r="G5357" i="5"/>
  <c r="G5435" i="5"/>
  <c r="G5375" i="5"/>
  <c r="G5441" i="5"/>
  <c r="G5867" i="5"/>
  <c r="G5467" i="5"/>
  <c r="G5783" i="5"/>
  <c r="G5695" i="5"/>
  <c r="G5811" i="5"/>
  <c r="G5939" i="5"/>
  <c r="G5663" i="5"/>
  <c r="G5755" i="5"/>
  <c r="G5607" i="5"/>
  <c r="G5807" i="5"/>
  <c r="G5631" i="5"/>
  <c r="G5951" i="5"/>
  <c r="G2725" i="5"/>
  <c r="G5165" i="5"/>
  <c r="G5333" i="5"/>
  <c r="G5387" i="5"/>
  <c r="G5159" i="5"/>
  <c r="F23" i="19"/>
  <c r="F122" i="19"/>
  <c r="F123" i="19"/>
  <c r="F24" i="19"/>
  <c r="G2746" i="5"/>
  <c r="G2449" i="5"/>
  <c r="G2453" i="5"/>
  <c r="G2421" i="5"/>
  <c r="G2425" i="5"/>
  <c r="G2545" i="5"/>
  <c r="G2493" i="5"/>
  <c r="G2461" i="5"/>
  <c r="G2417" i="5"/>
  <c r="G2497" i="5"/>
  <c r="G2501" i="5"/>
  <c r="G2465" i="5"/>
  <c r="G2469" i="5"/>
  <c r="G2541" i="5"/>
  <c r="G2457" i="5"/>
  <c r="G2413" i="5"/>
  <c r="G2517" i="5"/>
  <c r="G2485" i="5"/>
  <c r="G2445" i="5"/>
  <c r="G2521" i="5"/>
  <c r="G2489" i="5"/>
  <c r="G2401" i="5"/>
  <c r="G2481" i="5"/>
  <c r="G2441" i="5"/>
  <c r="G2537" i="5"/>
  <c r="G2509" i="5"/>
  <c r="G2477" i="5"/>
  <c r="G2405" i="5"/>
  <c r="G2513" i="5"/>
  <c r="G2505" i="5"/>
  <c r="G2553" i="5"/>
  <c r="G2533" i="5"/>
  <c r="G2653" i="5"/>
  <c r="G2473" i="5"/>
  <c r="G2645" i="5"/>
  <c r="G2429" i="5"/>
  <c r="G2549" i="5"/>
  <c r="G2529" i="5"/>
  <c r="G2433" i="5"/>
  <c r="G2525" i="5"/>
  <c r="G5136" i="5"/>
  <c r="G5129" i="5"/>
  <c r="G5130" i="5"/>
  <c r="G5135" i="5"/>
  <c r="G5107" i="5"/>
  <c r="G5109" i="5"/>
  <c r="G5110" i="5"/>
  <c r="G5108" i="5"/>
  <c r="F195" i="6"/>
  <c r="G4031" i="5"/>
  <c r="G3594" i="5"/>
  <c r="G266" i="5"/>
  <c r="G619" i="5"/>
  <c r="G618" i="5"/>
  <c r="G4030" i="5"/>
  <c r="G3595" i="5"/>
  <c r="G3566" i="5"/>
  <c r="F115" i="6"/>
  <c r="G617" i="5"/>
  <c r="G717" i="5"/>
  <c r="G4936" i="5"/>
  <c r="G719" i="5"/>
  <c r="G4907" i="5"/>
  <c r="G4891" i="5"/>
  <c r="G4630" i="5"/>
  <c r="G4853" i="5"/>
  <c r="G5054" i="5"/>
  <c r="G5095" i="5"/>
  <c r="G4678" i="5"/>
  <c r="G4807" i="5"/>
  <c r="G3734" i="5"/>
  <c r="G4890" i="5"/>
  <c r="G4977" i="5"/>
  <c r="G4817" i="5"/>
  <c r="G2246" i="5"/>
  <c r="G5088" i="5"/>
  <c r="G4745" i="5"/>
  <c r="G4924" i="5"/>
  <c r="G5056" i="5"/>
  <c r="G4841" i="5"/>
  <c r="G4969" i="5"/>
  <c r="G4752" i="5"/>
  <c r="G1332" i="5"/>
  <c r="G5021" i="5"/>
  <c r="G4766" i="5"/>
  <c r="G2269" i="5"/>
  <c r="G5117" i="5"/>
  <c r="G4818" i="5"/>
  <c r="G4954" i="5"/>
  <c r="G2258" i="5"/>
  <c r="G4636" i="5"/>
  <c r="G5042" i="5"/>
  <c r="G710" i="5"/>
  <c r="G678" i="5"/>
  <c r="G4966" i="5"/>
  <c r="G716" i="5"/>
  <c r="G4883" i="5"/>
  <c r="G5063" i="5"/>
  <c r="G4822" i="5"/>
  <c r="G4897" i="5"/>
  <c r="G4744" i="5"/>
  <c r="G4686" i="5"/>
  <c r="G5048" i="5"/>
  <c r="G4627" i="5"/>
  <c r="G4811" i="5"/>
  <c r="G4848" i="5"/>
  <c r="G2292" i="5"/>
  <c r="G4693" i="5"/>
  <c r="G1326" i="5"/>
  <c r="G4970" i="5"/>
  <c r="G4862" i="5"/>
  <c r="G4786" i="5"/>
  <c r="G2259" i="5"/>
  <c r="G5071" i="5"/>
  <c r="G4632" i="5"/>
  <c r="G4884" i="5"/>
  <c r="G5006" i="5"/>
  <c r="G4759" i="5"/>
  <c r="G4913" i="5"/>
  <c r="G5045" i="5"/>
  <c r="G4799" i="5"/>
  <c r="G5100" i="5"/>
  <c r="G4641" i="5"/>
  <c r="G4840" i="5"/>
  <c r="G4976" i="5"/>
  <c r="G707" i="5"/>
  <c r="G681" i="5"/>
  <c r="G2288" i="5"/>
  <c r="G4804" i="5"/>
  <c r="G2243" i="5"/>
  <c r="G4990" i="5"/>
  <c r="G5044" i="5"/>
  <c r="G4943" i="5"/>
  <c r="G4856" i="5"/>
  <c r="G4952" i="5"/>
  <c r="G4717" i="5"/>
  <c r="G4930" i="5"/>
  <c r="G5037" i="5"/>
  <c r="G4885" i="5"/>
  <c r="G4985" i="5"/>
  <c r="G4800" i="5"/>
  <c r="G2272" i="5"/>
  <c r="G5083" i="5"/>
  <c r="G711" i="5"/>
  <c r="G4905" i="5"/>
  <c r="G5022" i="5"/>
  <c r="G4793" i="5"/>
  <c r="G2300" i="5"/>
  <c r="G5123" i="5"/>
  <c r="G4824" i="5"/>
  <c r="G4944" i="5"/>
  <c r="G4651" i="5"/>
  <c r="G4889" i="5"/>
  <c r="G4986" i="5"/>
  <c r="G5053" i="5"/>
  <c r="G4860" i="5"/>
  <c r="G709" i="5"/>
  <c r="G4729" i="5"/>
  <c r="G3733" i="5"/>
  <c r="G2298" i="5"/>
  <c r="G5096" i="5"/>
  <c r="G4736" i="5"/>
  <c r="G4828" i="5"/>
  <c r="G4935" i="5"/>
  <c r="G4834" i="5"/>
  <c r="G5069" i="5"/>
  <c r="G4870" i="5"/>
  <c r="G4882" i="5"/>
  <c r="G4929" i="5"/>
  <c r="G4637" i="5"/>
  <c r="G4656" i="5"/>
  <c r="G4903" i="5"/>
  <c r="G4992" i="5"/>
  <c r="G4767" i="5"/>
  <c r="G2279" i="5"/>
  <c r="G5064" i="5"/>
  <c r="G4646" i="5"/>
  <c r="G4904" i="5"/>
  <c r="G5000" i="5"/>
  <c r="G4812" i="5"/>
  <c r="G4960" i="5"/>
  <c r="G4701" i="5"/>
  <c r="G1331" i="5"/>
  <c r="G5046" i="5"/>
  <c r="G4823" i="5"/>
  <c r="G4855" i="5"/>
  <c r="G4999" i="5"/>
  <c r="G720" i="5"/>
  <c r="G4669" i="5"/>
  <c r="G4918" i="5"/>
  <c r="G5029" i="5"/>
  <c r="G682" i="5"/>
  <c r="G5004" i="5"/>
  <c r="G5043" i="5"/>
  <c r="G4640" i="5"/>
  <c r="G4950" i="5"/>
  <c r="G5052" i="5"/>
  <c r="G4626" i="5"/>
  <c r="G4685" i="5"/>
  <c r="G4919" i="5"/>
  <c r="G4984" i="5"/>
  <c r="G4806" i="5"/>
  <c r="G2290" i="5"/>
  <c r="G5090" i="5"/>
  <c r="G684" i="5"/>
  <c r="G1325" i="5"/>
  <c r="G5007" i="5"/>
  <c r="G4861" i="5"/>
  <c r="G4978" i="5"/>
  <c r="G4753" i="5"/>
  <c r="G4937" i="5"/>
  <c r="G5057" i="5"/>
  <c r="G4842" i="5"/>
  <c r="G4945" i="5"/>
  <c r="G721" i="5"/>
  <c r="G4642" i="5"/>
  <c r="G4872" i="5"/>
  <c r="G4993" i="5"/>
  <c r="G4738" i="5"/>
  <c r="G4931" i="5"/>
  <c r="G5047" i="5"/>
  <c r="G5062" i="5"/>
  <c r="G706" i="5"/>
  <c r="G4942" i="5"/>
  <c r="G2278" i="5"/>
  <c r="G4750" i="5"/>
  <c r="G4816" i="5"/>
  <c r="G4728" i="5"/>
  <c r="G4662" i="5"/>
  <c r="G5058" i="5"/>
  <c r="G4694" i="5"/>
  <c r="G4764" i="5"/>
  <c r="G4974" i="5"/>
  <c r="G5034" i="5"/>
  <c r="G4982" i="5"/>
  <c r="G4718" i="5"/>
  <c r="G5018" i="5"/>
  <c r="G4739" i="5"/>
  <c r="G4925" i="5"/>
  <c r="G5030" i="5"/>
  <c r="G4830" i="5"/>
  <c r="G4677" i="5"/>
  <c r="G4938" i="5"/>
  <c r="G5038" i="5"/>
  <c r="G4871" i="5"/>
  <c r="G5008" i="5"/>
  <c r="G4785" i="5"/>
  <c r="G2280" i="5"/>
  <c r="G5116" i="5"/>
  <c r="G4631" i="5"/>
  <c r="G4866" i="5"/>
  <c r="G4994" i="5"/>
  <c r="G4709" i="5"/>
  <c r="G4899" i="5"/>
  <c r="G5013" i="5"/>
  <c r="G4760" i="5"/>
  <c r="G2289" i="5"/>
  <c r="G5078" i="5"/>
  <c r="G4854" i="5"/>
  <c r="G2268" i="5"/>
  <c r="G4757" i="5"/>
  <c r="G4876" i="5"/>
  <c r="G5026" i="5"/>
  <c r="G4727" i="5"/>
  <c r="G4702" i="5"/>
  <c r="G4771" i="5"/>
  <c r="G4778" i="5"/>
  <c r="G2260" i="5"/>
  <c r="G5065" i="5"/>
  <c r="G4847" i="5"/>
  <c r="G4773" i="5"/>
  <c r="G2299" i="5"/>
  <c r="G5055" i="5"/>
  <c r="G712" i="5"/>
  <c r="G4906" i="5"/>
  <c r="G5020" i="5"/>
  <c r="G4836" i="5"/>
  <c r="G2262" i="5"/>
  <c r="G4661" i="5"/>
  <c r="G4878" i="5"/>
  <c r="G4968" i="5"/>
  <c r="G4731" i="5"/>
  <c r="G1337" i="5"/>
  <c r="G5028" i="5"/>
  <c r="G4774" i="5"/>
  <c r="G2282" i="5"/>
  <c r="G4791" i="5"/>
  <c r="G718" i="5"/>
  <c r="G679" i="5"/>
  <c r="G4790" i="5"/>
  <c r="G4710" i="5"/>
  <c r="G4670" i="5"/>
  <c r="G5115" i="5"/>
  <c r="G4949" i="5"/>
  <c r="G4737" i="5"/>
  <c r="G5121" i="5"/>
  <c r="G4797" i="5"/>
  <c r="G4829" i="5"/>
  <c r="G2270" i="5"/>
  <c r="G5084" i="5"/>
  <c r="G4877" i="5"/>
  <c r="G4951" i="5"/>
  <c r="G4792" i="5"/>
  <c r="G5072" i="5"/>
  <c r="G683" i="5"/>
  <c r="G1338" i="5"/>
  <c r="G5036" i="5"/>
  <c r="G4835" i="5"/>
  <c r="G4961" i="5"/>
  <c r="G4730" i="5"/>
  <c r="G4898" i="5"/>
  <c r="G5014" i="5"/>
  <c r="G4746" i="5"/>
  <c r="G4912" i="5"/>
  <c r="G5077" i="5"/>
  <c r="G4843" i="5"/>
  <c r="G2302" i="5"/>
  <c r="F18" i="6"/>
  <c r="F210" i="6"/>
  <c r="F128" i="6"/>
  <c r="F230" i="6"/>
  <c r="F205" i="6"/>
  <c r="G205" i="6" s="1"/>
  <c r="F122" i="6"/>
  <c r="F82" i="6"/>
  <c r="F44" i="6"/>
  <c r="F140" i="6"/>
  <c r="F134" i="6"/>
  <c r="F127" i="6"/>
  <c r="F300" i="6"/>
  <c r="G3571" i="5"/>
  <c r="G1029" i="5"/>
  <c r="G4610" i="5"/>
  <c r="G4395" i="5"/>
  <c r="G3967" i="5"/>
  <c r="G444" i="5"/>
  <c r="G2232" i="5"/>
  <c r="G3973" i="5"/>
  <c r="G2964" i="5"/>
  <c r="G1920" i="5"/>
  <c r="G4342" i="5"/>
  <c r="G3392" i="5"/>
  <c r="G4346" i="5"/>
  <c r="G3353" i="5"/>
  <c r="G3469" i="5"/>
  <c r="G2785" i="5"/>
  <c r="G1214" i="5"/>
  <c r="G4615" i="5"/>
  <c r="G4614" i="5"/>
  <c r="G1310" i="5"/>
  <c r="G3344" i="5"/>
  <c r="G1311" i="5"/>
  <c r="G151" i="5"/>
  <c r="G1741" i="5"/>
  <c r="G2755" i="5"/>
  <c r="G2750" i="5"/>
  <c r="G2756" i="5"/>
  <c r="G2751" i="5"/>
  <c r="G438" i="5"/>
  <c r="G932" i="5"/>
  <c r="G399" i="5"/>
  <c r="G3040" i="5"/>
  <c r="G1151" i="5"/>
  <c r="G3320" i="5"/>
  <c r="G1194" i="5"/>
  <c r="G625" i="5"/>
  <c r="G4440" i="5"/>
  <c r="G4078" i="5"/>
  <c r="G1256" i="5"/>
  <c r="G905" i="5"/>
  <c r="G1659" i="5"/>
  <c r="G4111" i="5"/>
  <c r="G4275" i="5"/>
  <c r="G1519" i="5"/>
  <c r="G2870" i="5"/>
  <c r="G3032" i="5"/>
  <c r="G2133" i="5"/>
  <c r="G3979" i="5"/>
  <c r="G4504" i="5"/>
  <c r="G3509" i="5"/>
  <c r="G1387" i="5"/>
  <c r="G1872" i="5"/>
  <c r="F28" i="7"/>
  <c r="F146" i="6"/>
  <c r="F231" i="6"/>
  <c r="F121" i="6"/>
  <c r="F159" i="6"/>
  <c r="F34" i="6"/>
  <c r="F90" i="6"/>
  <c r="F67" i="6"/>
  <c r="F330" i="6"/>
  <c r="F329" i="6"/>
  <c r="F259" i="6"/>
  <c r="F25" i="6"/>
  <c r="F160" i="6"/>
  <c r="F116" i="6"/>
  <c r="F53" i="6"/>
  <c r="F316" i="6"/>
  <c r="F152" i="6"/>
  <c r="F190" i="6"/>
  <c r="F66" i="6"/>
  <c r="F271" i="6"/>
  <c r="F33" i="6"/>
  <c r="F196" i="6"/>
  <c r="F172" i="6"/>
  <c r="F209" i="6"/>
  <c r="F301" i="6"/>
  <c r="F184" i="6"/>
  <c r="F315" i="6"/>
  <c r="F109" i="6"/>
  <c r="F244" i="6"/>
  <c r="F133" i="6"/>
  <c r="F308" i="6"/>
  <c r="F307" i="6"/>
  <c r="F43" i="6"/>
  <c r="F189" i="6"/>
  <c r="F110" i="6"/>
  <c r="F201" i="6"/>
  <c r="F211" i="6"/>
  <c r="F19" i="6"/>
  <c r="F100" i="6"/>
  <c r="G2138" i="5"/>
  <c r="G3835" i="5"/>
  <c r="G347" i="5"/>
  <c r="G2657" i="5"/>
  <c r="G2886" i="5"/>
  <c r="G1511" i="5"/>
  <c r="G3563" i="5"/>
  <c r="G4538" i="5"/>
  <c r="G1824" i="5"/>
  <c r="G4362" i="5"/>
  <c r="G3894" i="5"/>
  <c r="G2817" i="5"/>
  <c r="G4622" i="5"/>
  <c r="G1849" i="5"/>
  <c r="G1405" i="5"/>
  <c r="G2802" i="5"/>
  <c r="G3534" i="5"/>
  <c r="G412" i="5"/>
  <c r="G1006" i="5"/>
  <c r="G1648" i="5"/>
  <c r="G2084" i="5"/>
  <c r="G3183" i="5"/>
  <c r="G280" i="5"/>
  <c r="G591" i="5"/>
  <c r="G1187" i="5"/>
  <c r="G1890" i="5"/>
  <c r="G2127" i="5"/>
  <c r="G89" i="5"/>
  <c r="G1091" i="5"/>
  <c r="G1580" i="5"/>
  <c r="G2001" i="5"/>
  <c r="G185" i="5"/>
  <c r="G727" i="5"/>
  <c r="G1296" i="5"/>
  <c r="G1873" i="5"/>
  <c r="G3231" i="5"/>
  <c r="G3875" i="5"/>
  <c r="G4282" i="5"/>
  <c r="G4368" i="5"/>
  <c r="G61" i="5"/>
  <c r="G147" i="5"/>
  <c r="G354" i="5"/>
  <c r="G611" i="5"/>
  <c r="G1092" i="5"/>
  <c r="G1551" i="5"/>
  <c r="G1685" i="5"/>
  <c r="G1902" i="5"/>
  <c r="G2221" i="5"/>
  <c r="G2347" i="5"/>
  <c r="G2919" i="5"/>
  <c r="G3326" i="5"/>
  <c r="G3555" i="5"/>
  <c r="G80" i="5"/>
  <c r="G1060" i="5"/>
  <c r="G1166" i="5"/>
  <c r="G1374" i="5"/>
  <c r="G1536" i="5"/>
  <c r="G1813" i="5"/>
  <c r="G1969" i="5"/>
  <c r="G2115" i="5"/>
  <c r="G2376" i="5"/>
  <c r="G2775" i="5"/>
  <c r="G564" i="5"/>
  <c r="G1290" i="5"/>
  <c r="G1686" i="5"/>
  <c r="G1994" i="5"/>
  <c r="G3096" i="5"/>
  <c r="G534" i="5"/>
  <c r="G212" i="5"/>
  <c r="G584" i="5"/>
  <c r="G812" i="5"/>
  <c r="G953" i="5"/>
  <c r="G1268" i="5"/>
  <c r="G1558" i="5"/>
  <c r="G1719" i="5"/>
  <c r="G1861" i="5"/>
  <c r="G1970" i="5"/>
  <c r="G2226" i="5"/>
  <c r="G2945" i="5"/>
  <c r="G3152" i="5"/>
  <c r="G3486" i="5"/>
  <c r="G3813" i="5"/>
  <c r="G4053" i="5"/>
  <c r="G4230" i="5"/>
  <c r="G4429" i="5"/>
  <c r="G3836" i="5"/>
  <c r="G3807" i="5"/>
  <c r="G4195" i="5"/>
  <c r="G4611" i="5"/>
  <c r="G3678" i="5"/>
  <c r="G3752" i="5"/>
  <c r="G4264" i="5"/>
  <c r="G137" i="5"/>
  <c r="G508" i="5"/>
  <c r="G931" i="5"/>
  <c r="G1100" i="5"/>
  <c r="G1291" i="5"/>
  <c r="G1765" i="5"/>
  <c r="G1855" i="5"/>
  <c r="G1963" i="5"/>
  <c r="G2330" i="5"/>
  <c r="G2770" i="5"/>
  <c r="G3291" i="5"/>
  <c r="G3426" i="5"/>
  <c r="G67" i="5"/>
  <c r="G368" i="5"/>
  <c r="G437" i="5"/>
  <c r="G733" i="5"/>
  <c r="G870" i="5"/>
  <c r="G1011" i="5"/>
  <c r="G1120" i="5"/>
  <c r="G1269" i="5"/>
  <c r="G1653" i="5"/>
  <c r="G1866" i="5"/>
  <c r="G1930" i="5"/>
  <c r="G2092" i="5"/>
  <c r="G2208" i="5"/>
  <c r="G2311" i="5"/>
  <c r="G2954" i="5"/>
  <c r="G3153" i="5"/>
  <c r="G3312" i="5"/>
  <c r="G3542" i="5"/>
  <c r="G473" i="5"/>
  <c r="G1053" i="5"/>
  <c r="G1306" i="5"/>
  <c r="G1520" i="5"/>
  <c r="G1630" i="5"/>
  <c r="G1792" i="5"/>
  <c r="G2091" i="5"/>
  <c r="G2336" i="5"/>
  <c r="G2391" i="5"/>
  <c r="G2979" i="5"/>
  <c r="G3182" i="5"/>
  <c r="G3522" i="5"/>
  <c r="G57" i="5"/>
  <c r="G195" i="5"/>
  <c r="G726" i="5"/>
  <c r="G1566" i="5"/>
  <c r="G1753" i="5"/>
  <c r="G2854" i="5"/>
  <c r="G3025" i="5"/>
  <c r="G3285" i="5"/>
  <c r="G3355" i="5"/>
  <c r="G3444" i="5"/>
  <c r="G3453" i="5"/>
  <c r="G3664" i="5"/>
  <c r="G4313" i="5"/>
  <c r="G4562" i="5"/>
  <c r="G3751" i="5"/>
  <c r="G3924" i="5"/>
  <c r="G4172" i="5"/>
  <c r="G4320" i="5"/>
  <c r="G4470" i="5"/>
  <c r="G4248" i="5"/>
  <c r="G4568" i="5"/>
  <c r="G3713" i="5"/>
  <c r="G4084" i="5"/>
  <c r="G4369" i="5"/>
  <c r="G4531" i="5"/>
  <c r="G157" i="5"/>
  <c r="G377" i="5"/>
  <c r="G501" i="5"/>
  <c r="G952" i="5"/>
  <c r="G1001" i="5"/>
  <c r="G1145" i="5"/>
  <c r="G1674" i="5"/>
  <c r="G1818" i="5"/>
  <c r="G1929" i="5"/>
  <c r="G2120" i="5"/>
  <c r="G2323" i="5"/>
  <c r="G2832" i="5"/>
  <c r="G3109" i="5"/>
  <c r="G3487" i="5"/>
  <c r="G164" i="5"/>
  <c r="G432" i="5"/>
  <c r="G1342" i="5"/>
  <c r="G1693" i="5"/>
  <c r="G2009" i="5"/>
  <c r="G2395" i="5"/>
  <c r="G3224" i="5"/>
  <c r="G467" i="5"/>
  <c r="G960" i="5"/>
  <c r="G1109" i="5"/>
  <c r="G1276" i="5"/>
  <c r="G1495" i="5"/>
  <c r="G1814" i="5"/>
  <c r="G2121" i="5"/>
  <c r="G2346" i="5"/>
  <c r="G2946" i="5"/>
  <c r="G3139" i="5"/>
  <c r="G3251" i="5"/>
  <c r="G3551" i="5"/>
  <c r="G502" i="5"/>
  <c r="G94" i="5"/>
  <c r="G485" i="5"/>
  <c r="G672" i="5"/>
  <c r="G1838" i="5"/>
  <c r="G2693" i="5"/>
  <c r="G3085" i="5"/>
  <c r="G3378" i="5"/>
  <c r="G3852" i="5"/>
  <c r="G4028" i="5"/>
  <c r="G3893" i="5"/>
  <c r="G4240" i="5"/>
  <c r="G4330" i="5"/>
  <c r="G4496" i="5"/>
  <c r="G4400" i="5"/>
  <c r="G3868" i="5"/>
  <c r="G4367" i="5"/>
  <c r="G4546" i="5"/>
  <c r="G141" i="5"/>
  <c r="G226" i="5"/>
  <c r="G837" i="5"/>
  <c r="G1052" i="5"/>
  <c r="G1277" i="5"/>
  <c r="G2145" i="5"/>
  <c r="G2969" i="5"/>
  <c r="G3305" i="5"/>
  <c r="G74" i="5"/>
  <c r="G156" i="5"/>
  <c r="G700" i="5"/>
  <c r="G889" i="5"/>
  <c r="G1228" i="5"/>
  <c r="G1466" i="5"/>
  <c r="G1778" i="5"/>
  <c r="G2044" i="5"/>
  <c r="G2729" i="5"/>
  <c r="G2994" i="5"/>
  <c r="G3379" i="5"/>
  <c r="G217" i="5"/>
  <c r="G633" i="5"/>
  <c r="G974" i="5"/>
  <c r="G1680" i="5"/>
  <c r="G2839" i="5"/>
  <c r="G3157" i="5"/>
  <c r="G3362" i="5"/>
  <c r="G44" i="5"/>
  <c r="G474" i="5"/>
  <c r="G311" i="5"/>
  <c r="G1635" i="5"/>
  <c r="G1771" i="5"/>
  <c r="G2844" i="5"/>
  <c r="G3075" i="5"/>
  <c r="G3327" i="5"/>
  <c r="G3368" i="5"/>
  <c r="G3535" i="5"/>
  <c r="G3808" i="5"/>
  <c r="G4054" i="5"/>
  <c r="G4083" i="5"/>
  <c r="G4336" i="5"/>
  <c r="G4265" i="5"/>
  <c r="G3572" i="5"/>
  <c r="G4132" i="5"/>
  <c r="G3688" i="5"/>
  <c r="G3814" i="5"/>
  <c r="G4258" i="5"/>
  <c r="G3994" i="5"/>
  <c r="G4095" i="5"/>
  <c r="G4321" i="5"/>
  <c r="G194" i="5"/>
  <c r="G610" i="5"/>
  <c r="G1138" i="5"/>
  <c r="G1362" i="5"/>
  <c r="G1573" i="5"/>
  <c r="G2002" i="5"/>
  <c r="G2162" i="5"/>
  <c r="G2335" i="5"/>
  <c r="G2735" i="5"/>
  <c r="G2862" i="5"/>
  <c r="G3319" i="5"/>
  <c r="G3443" i="5"/>
  <c r="G168" i="5"/>
  <c r="G459" i="5"/>
  <c r="G753" i="5"/>
  <c r="G922" i="5"/>
  <c r="G1045" i="5"/>
  <c r="G1884" i="5"/>
  <c r="G1957" i="5"/>
  <c r="G2132" i="5"/>
  <c r="G2227" i="5"/>
  <c r="G2371" i="5"/>
  <c r="G2760" i="5"/>
  <c r="G3020" i="5"/>
  <c r="G3230" i="5"/>
  <c r="G3550" i="5"/>
  <c r="G853" i="5"/>
  <c r="G1066" i="5"/>
  <c r="G1249" i="5"/>
  <c r="G1356" i="5"/>
  <c r="G1543" i="5"/>
  <c r="G1701" i="5"/>
  <c r="G1819" i="5"/>
  <c r="G1935" i="5"/>
  <c r="G2154" i="5"/>
  <c r="G2342" i="5"/>
  <c r="G3102" i="5"/>
  <c r="G3189" i="5"/>
  <c r="G3556" i="5"/>
  <c r="G75" i="5"/>
  <c r="G243" i="5"/>
  <c r="G947" i="5"/>
  <c r="G1208" i="5"/>
  <c r="G1612" i="5"/>
  <c r="G1779" i="5"/>
  <c r="G1956" i="5"/>
  <c r="G2153" i="5"/>
  <c r="G2382" i="5"/>
  <c r="G2899" i="5"/>
  <c r="G3299" i="5"/>
  <c r="G3374" i="5"/>
  <c r="G3820" i="5"/>
  <c r="G4002" i="5"/>
  <c r="G4419" i="5"/>
  <c r="G3794" i="5"/>
  <c r="G3952" i="5"/>
  <c r="G4184" i="5"/>
  <c r="G4394" i="5"/>
  <c r="G3898" i="5"/>
  <c r="G4003" i="5"/>
  <c r="G4294" i="5"/>
  <c r="G4580" i="5"/>
  <c r="G3860" i="5"/>
  <c r="G4461" i="5"/>
  <c r="G181" i="5"/>
  <c r="G398" i="5"/>
  <c r="G533" i="5"/>
  <c r="G802" i="5"/>
  <c r="G1073" i="5"/>
  <c r="G1229" i="5"/>
  <c r="G1343" i="5"/>
  <c r="G1772" i="5"/>
  <c r="G1837" i="5"/>
  <c r="G1985" i="5"/>
  <c r="G2201" i="5"/>
  <c r="G2341" i="5"/>
  <c r="G3194" i="5"/>
  <c r="G3615" i="5"/>
  <c r="G378" i="5"/>
  <c r="G208" i="5"/>
  <c r="G334" i="5"/>
  <c r="G458" i="5"/>
  <c r="G732" i="5"/>
  <c r="G1010" i="5"/>
  <c r="G1436" i="5"/>
  <c r="G1705" i="5"/>
  <c r="G2240" i="5"/>
  <c r="G3147" i="5"/>
  <c r="G3238" i="5"/>
  <c r="G3480" i="5"/>
  <c r="G978" i="5"/>
  <c r="G1125" i="5"/>
  <c r="G1355" i="5"/>
  <c r="G1647" i="5"/>
  <c r="G1829" i="5"/>
  <c r="G2146" i="5"/>
  <c r="G2699" i="5"/>
  <c r="G2999" i="5"/>
  <c r="G3195" i="5"/>
  <c r="G3258" i="5"/>
  <c r="G3384" i="5"/>
  <c r="G558" i="5"/>
  <c r="G109" i="5"/>
  <c r="G513" i="5"/>
  <c r="G740" i="5"/>
  <c r="G901" i="5"/>
  <c r="G1435" i="5"/>
  <c r="G1843" i="5"/>
  <c r="G2178" i="5"/>
  <c r="G2318" i="5"/>
  <c r="G3103" i="5"/>
  <c r="G3397" i="5"/>
  <c r="G4071" i="5"/>
  <c r="G4249" i="5"/>
  <c r="G3934" i="5"/>
  <c r="G4089" i="5"/>
  <c r="G4503" i="5"/>
  <c r="G4410" i="5"/>
  <c r="G3648" i="5"/>
  <c r="G4378" i="5"/>
  <c r="G4563" i="5"/>
  <c r="G90" i="5"/>
  <c r="G177" i="5"/>
  <c r="G491" i="5"/>
  <c r="G650" i="5"/>
  <c r="G959" i="5"/>
  <c r="G1067" i="5"/>
  <c r="G1305" i="5"/>
  <c r="G1669" i="5"/>
  <c r="G2076" i="5"/>
  <c r="G2241" i="5"/>
  <c r="G2792" i="5"/>
  <c r="G3060" i="5"/>
  <c r="G3171" i="5"/>
  <c r="G3564" i="5"/>
  <c r="G84" i="5"/>
  <c r="G163" i="5"/>
  <c r="G811" i="5"/>
  <c r="G895" i="5"/>
  <c r="G1349" i="5"/>
  <c r="G2161" i="5"/>
  <c r="G3012" i="5"/>
  <c r="G3418" i="5"/>
  <c r="G392" i="5"/>
  <c r="G801" i="5"/>
  <c r="G1808" i="5"/>
  <c r="G1945" i="5"/>
  <c r="G2375" i="5"/>
  <c r="G2914" i="5"/>
  <c r="G3210" i="5"/>
  <c r="G142" i="5"/>
  <c r="G514" i="5"/>
  <c r="G431" i="5"/>
  <c r="G1030" i="5"/>
  <c r="G1398" i="5"/>
  <c r="G1535" i="5"/>
  <c r="G3108" i="5"/>
  <c r="G3388" i="5"/>
  <c r="G3616" i="5"/>
  <c r="G3543" i="5"/>
  <c r="G3826" i="5"/>
  <c r="G4126" i="5"/>
  <c r="G3689" i="5"/>
  <c r="G3793" i="5"/>
  <c r="G4331" i="5"/>
  <c r="G4453" i="5"/>
  <c r="G4469" i="5"/>
  <c r="G35" i="5"/>
  <c r="G1595" i="5"/>
  <c r="G1977" i="5"/>
  <c r="G2989" i="5"/>
  <c r="G3589" i="5"/>
  <c r="G346" i="5"/>
  <c r="G1083" i="5"/>
  <c r="G1607" i="5"/>
  <c r="G2052" i="5"/>
  <c r="G2807" i="5"/>
  <c r="G830" i="5"/>
  <c r="G1363" i="5"/>
  <c r="G1896" i="5"/>
  <c r="G592" i="5"/>
  <c r="G967" i="5"/>
  <c r="G1757" i="5"/>
  <c r="G3508" i="5"/>
  <c r="G4539" i="5"/>
  <c r="G297" i="5"/>
  <c r="G100" i="5"/>
  <c r="G457" i="5"/>
  <c r="G658" i="5"/>
  <c r="G1020" i="5"/>
  <c r="G1193" i="5"/>
  <c r="G1618" i="5"/>
  <c r="G1654" i="5"/>
  <c r="G1879" i="5"/>
  <c r="G2075" i="5"/>
  <c r="G2100" i="5"/>
  <c r="G2780" i="5"/>
  <c r="G3045" i="5"/>
  <c r="G3265" i="5"/>
  <c r="G242" i="5"/>
  <c r="G420" i="5"/>
  <c r="G600" i="5"/>
  <c r="G1110" i="5"/>
  <c r="G1207" i="5"/>
  <c r="G1465" i="5"/>
  <c r="G1752" i="5"/>
  <c r="G1908" i="5"/>
  <c r="G2043" i="5"/>
  <c r="G2067" i="5"/>
  <c r="G2139" i="5"/>
  <c r="G2675" i="5"/>
  <c r="G3115" i="5"/>
  <c r="G3600" i="5"/>
  <c r="G288" i="5"/>
  <c r="G770" i="5"/>
  <c r="G894" i="5"/>
  <c r="G1420" i="5"/>
  <c r="G1640" i="5"/>
  <c r="G1742" i="5"/>
  <c r="G1823" i="5"/>
  <c r="G1940" i="5"/>
  <c r="G2028" i="5"/>
  <c r="G2193" i="5"/>
  <c r="G2356" i="5"/>
  <c r="G3679" i="5"/>
  <c r="G193" i="5"/>
  <c r="G271" i="5"/>
  <c r="G429" i="5"/>
  <c r="G640" i="5"/>
  <c r="G852" i="5"/>
  <c r="G973" i="5"/>
  <c r="G1158" i="5"/>
  <c r="G1891" i="5"/>
  <c r="G2008" i="5"/>
  <c r="G2687" i="5"/>
  <c r="G3114" i="5"/>
  <c r="G3244" i="5"/>
  <c r="G3488" i="5"/>
  <c r="G3624" i="5"/>
  <c r="G4125" i="5"/>
  <c r="G4304" i="5"/>
  <c r="G4579" i="5"/>
  <c r="G3666" i="5"/>
  <c r="G3867" i="5"/>
  <c r="G4112" i="5"/>
  <c r="G3778" i="5"/>
  <c r="G3916" i="5"/>
  <c r="G4037" i="5"/>
  <c r="G4314" i="5"/>
  <c r="G4463" i="5"/>
  <c r="G3795" i="5"/>
  <c r="G4010" i="5"/>
  <c r="G4155" i="5"/>
  <c r="G4389" i="5"/>
  <c r="G639" i="5"/>
  <c r="G989" i="5"/>
  <c r="G1201" i="5"/>
  <c r="G1394" i="5"/>
  <c r="G1631" i="5"/>
  <c r="G1809" i="5"/>
  <c r="G1878" i="5"/>
  <c r="G2020" i="5"/>
  <c r="G2170" i="5"/>
  <c r="G2351" i="5"/>
  <c r="G2744" i="5"/>
  <c r="G2904" i="5"/>
  <c r="G281" i="5"/>
  <c r="G946" i="5"/>
  <c r="G1144" i="5"/>
  <c r="G1173" i="5"/>
  <c r="G1915" i="5"/>
  <c r="G2036" i="5"/>
  <c r="G2924" i="5"/>
  <c r="G3245" i="5"/>
  <c r="G3348" i="5"/>
  <c r="G3585" i="5"/>
  <c r="G764" i="5"/>
  <c r="G1131" i="5"/>
  <c r="G1263" i="5"/>
  <c r="G1375" i="5"/>
  <c r="G1567" i="5"/>
  <c r="G1731" i="5"/>
  <c r="G2186" i="5"/>
  <c r="G2361" i="5"/>
  <c r="G3125" i="5"/>
  <c r="G3625" i="5"/>
  <c r="G273" i="5"/>
  <c r="G114" i="5"/>
  <c r="G583" i="5"/>
  <c r="G1236" i="5"/>
  <c r="G1451" i="5"/>
  <c r="G1679" i="5"/>
  <c r="G1885" i="5"/>
  <c r="G2027" i="5"/>
  <c r="G2185" i="5"/>
  <c r="G2310" i="5"/>
  <c r="G2396" i="5"/>
  <c r="G2934" i="5"/>
  <c r="G3138" i="5"/>
  <c r="G3313" i="5"/>
  <c r="G3407" i="5"/>
  <c r="G3517" i="5"/>
  <c r="G3859" i="5"/>
  <c r="G4029" i="5"/>
  <c r="G4441" i="5"/>
  <c r="G3819" i="5"/>
  <c r="G3972" i="5"/>
  <c r="G4211" i="5"/>
  <c r="G4405" i="5"/>
  <c r="G3722" i="5"/>
  <c r="G3951" i="5"/>
  <c r="G4021" i="5"/>
  <c r="G3915" i="5"/>
  <c r="G3960" i="5"/>
  <c r="G4481" i="5"/>
  <c r="G565" i="5"/>
  <c r="G847" i="5"/>
  <c r="G1099" i="5"/>
  <c r="G1250" i="5"/>
  <c r="G1399" i="5"/>
  <c r="G1786" i="5"/>
  <c r="G2015" i="5"/>
  <c r="G2209" i="5"/>
  <c r="G2797" i="5"/>
  <c r="G3290" i="5"/>
  <c r="G50" i="5"/>
  <c r="G825" i="5"/>
  <c r="G1152" i="5"/>
  <c r="G1235" i="5"/>
  <c r="G1842" i="5"/>
  <c r="G2317" i="5"/>
  <c r="G2974" i="5"/>
  <c r="G3252" i="5"/>
  <c r="G915" i="5"/>
  <c r="G990" i="5"/>
  <c r="G1137" i="5"/>
  <c r="G1242" i="5"/>
  <c r="G1406" i="5"/>
  <c r="G1848" i="5"/>
  <c r="G2169" i="5"/>
  <c r="G2242" i="5"/>
  <c r="G2812" i="5"/>
  <c r="G3050" i="5"/>
  <c r="G3217" i="5"/>
  <c r="G3266" i="5"/>
  <c r="G30" i="5"/>
  <c r="G128" i="5"/>
  <c r="G520" i="5"/>
  <c r="G785" i="5"/>
  <c r="G1165" i="5"/>
  <c r="G1579" i="5"/>
  <c r="G1909" i="5"/>
  <c r="G1962" i="5"/>
  <c r="G3007" i="5"/>
  <c r="G3204" i="5"/>
  <c r="G3427" i="5"/>
  <c r="G3777" i="5"/>
  <c r="G4117" i="5"/>
  <c r="G4489" i="5"/>
  <c r="G3719" i="5"/>
  <c r="G3980" i="5"/>
  <c r="G4411" i="5"/>
  <c r="G4530" i="5"/>
  <c r="G3758" i="5"/>
  <c r="G4347" i="5"/>
  <c r="G4418" i="5"/>
  <c r="G4552" i="5"/>
  <c r="G3529" i="5"/>
  <c r="G3665" i="5"/>
  <c r="G3843" i="5"/>
  <c r="G3933" i="5"/>
  <c r="G4145" i="5"/>
  <c r="G4589" i="5"/>
  <c r="G169" i="5"/>
  <c r="G203" i="5"/>
  <c r="G542" i="5"/>
  <c r="G701" i="5"/>
  <c r="G916" i="5"/>
  <c r="G1243" i="5"/>
  <c r="G1528" i="5"/>
  <c r="G1730" i="5"/>
  <c r="G2107" i="5"/>
  <c r="G2894" i="5"/>
  <c r="G3188" i="5"/>
  <c r="G312" i="5"/>
  <c r="G95" i="5"/>
  <c r="G186" i="5"/>
  <c r="G601" i="5"/>
  <c r="G1369" i="5"/>
  <c r="G2252" i="5"/>
  <c r="G2669" i="5"/>
  <c r="G3203" i="5"/>
  <c r="G3516" i="5"/>
  <c r="G526" i="5"/>
  <c r="G869" i="5"/>
  <c r="G1295" i="5"/>
  <c r="G1557" i="5"/>
  <c r="G1984" i="5"/>
  <c r="G2035" i="5"/>
  <c r="G3070" i="5"/>
  <c r="G3223" i="5"/>
  <c r="G335" i="5"/>
  <c r="G548" i="5"/>
  <c r="G443" i="5"/>
  <c r="G1046" i="5"/>
  <c r="G1601" i="5"/>
  <c r="G1867" i="5"/>
  <c r="G2114" i="5"/>
  <c r="G3396" i="5"/>
  <c r="G3503" i="5"/>
  <c r="G3673" i="5"/>
  <c r="G3842" i="5"/>
  <c r="G3744" i="5"/>
  <c r="G4070" i="5"/>
  <c r="G4482" i="5"/>
  <c r="G4151" i="5"/>
  <c r="G632" i="5"/>
  <c r="G1115" i="5"/>
  <c r="G1700" i="5"/>
  <c r="G2390" i="5"/>
  <c r="G3406" i="5"/>
  <c r="G129" i="5"/>
  <c r="G781" i="5"/>
  <c r="G1381" i="5"/>
  <c r="G1995" i="5"/>
  <c r="G2383" i="5"/>
  <c r="G741" i="5"/>
  <c r="G1180" i="5"/>
  <c r="G1692" i="5"/>
  <c r="G250" i="5"/>
  <c r="G842" i="5"/>
  <c r="G1481" i="5"/>
  <c r="G3479" i="5"/>
  <c r="G4106" i="5"/>
  <c r="G4077" i="5"/>
  <c r="G62" i="5"/>
  <c r="G123" i="5"/>
  <c r="G251" i="5"/>
  <c r="G549" i="5"/>
  <c r="G923" i="5"/>
  <c r="G1038" i="5"/>
  <c r="G1213" i="5"/>
  <c r="G1544" i="5"/>
  <c r="G1664" i="5"/>
  <c r="G2177" i="5"/>
  <c r="G2909" i="5"/>
  <c r="G3090" i="5"/>
  <c r="G3298" i="5"/>
  <c r="G3452" i="5"/>
  <c r="G133" i="5"/>
  <c r="G287" i="5"/>
  <c r="G486" i="5"/>
  <c r="G690" i="5"/>
  <c r="G966" i="5"/>
  <c r="G1126" i="5"/>
  <c r="G1368" i="5"/>
  <c r="G1527" i="5"/>
  <c r="G1764" i="5"/>
  <c r="G1793" i="5"/>
  <c r="G2099" i="5"/>
  <c r="G2194" i="5"/>
  <c r="G2734" i="5"/>
  <c r="G3161" i="5"/>
  <c r="G509" i="5"/>
  <c r="G1059" i="5"/>
  <c r="G1221" i="5"/>
  <c r="G1658" i="5"/>
  <c r="G1785" i="5"/>
  <c r="G1976" i="5"/>
  <c r="G2059" i="5"/>
  <c r="G2202" i="5"/>
  <c r="G2324" i="5"/>
  <c r="G2959" i="5"/>
  <c r="G3369" i="5"/>
  <c r="G199" i="5"/>
  <c r="G573" i="5"/>
  <c r="G691" i="5"/>
  <c r="G890" i="5"/>
  <c r="G1179" i="5"/>
  <c r="G1350" i="5"/>
  <c r="G1925" i="5"/>
  <c r="G2051" i="5"/>
  <c r="G2827" i="5"/>
  <c r="G3146" i="5"/>
  <c r="G3273" i="5"/>
  <c r="G3451" i="5"/>
  <c r="G3757" i="5"/>
  <c r="G4038" i="5"/>
  <c r="G4159" i="5"/>
  <c r="G4332" i="5"/>
  <c r="G3735" i="5"/>
  <c r="G3961" i="5"/>
  <c r="G3796" i="5"/>
  <c r="G3942" i="5"/>
  <c r="G4118" i="5"/>
  <c r="G4488" i="5"/>
  <c r="G3647" i="5"/>
  <c r="G3718" i="5"/>
  <c r="G4257" i="5"/>
  <c r="G99" i="5"/>
  <c r="G1074" i="5"/>
  <c r="G1222" i="5"/>
  <c r="G1421" i="5"/>
  <c r="G1706" i="5"/>
  <c r="G1830" i="5"/>
  <c r="G2068" i="5"/>
  <c r="G2761" i="5"/>
  <c r="G3259" i="5"/>
  <c r="G124" i="5"/>
  <c r="G353" i="5"/>
  <c r="G428" i="5"/>
  <c r="G559" i="5"/>
  <c r="G1200" i="5"/>
  <c r="G1480" i="5"/>
  <c r="G1800" i="5"/>
  <c r="G1919" i="5"/>
  <c r="G2060" i="5"/>
  <c r="G2939" i="5"/>
  <c r="G3065" i="5"/>
  <c r="G3354" i="5"/>
  <c r="G3636" i="5"/>
  <c r="G786" i="5"/>
  <c r="G979" i="5"/>
  <c r="G1157" i="5"/>
  <c r="G1283" i="5"/>
  <c r="G1393" i="5"/>
  <c r="G1574" i="5"/>
  <c r="G2083" i="5"/>
  <c r="G2233" i="5"/>
  <c r="G2370" i="5"/>
  <c r="G2878" i="5"/>
  <c r="G3131" i="5"/>
  <c r="G31" i="5"/>
  <c r="G673" i="5"/>
  <c r="G1552" i="5"/>
  <c r="G1897" i="5"/>
  <c r="G2213" i="5"/>
  <c r="G2711" i="5"/>
  <c r="G2984" i="5"/>
  <c r="G3237" i="5"/>
  <c r="G3339" i="5"/>
  <c r="G3428" i="5"/>
  <c r="G3602" i="5"/>
  <c r="G3943" i="5"/>
  <c r="G4043" i="5"/>
  <c r="G4274" i="5"/>
  <c r="G4551" i="5"/>
  <c r="G3732" i="5"/>
  <c r="G4303" i="5"/>
  <c r="G4042" i="5"/>
  <c r="G4509" i="5"/>
  <c r="G3925" i="5"/>
  <c r="G3990" i="5"/>
  <c r="G4239" i="5"/>
  <c r="G4495" i="5"/>
  <c r="G40" i="5"/>
  <c r="G222" i="5"/>
  <c r="G469" i="5"/>
  <c r="G624" i="5"/>
  <c r="G940" i="5"/>
  <c r="G1130" i="5"/>
  <c r="G1284" i="5"/>
  <c r="G1496" i="5"/>
  <c r="G1799" i="5"/>
  <c r="G1854" i="5"/>
  <c r="G2108" i="5"/>
  <c r="G2214" i="5"/>
  <c r="G2822" i="5"/>
  <c r="G3097" i="5"/>
  <c r="G3468" i="5"/>
  <c r="G85" i="5"/>
  <c r="G265" i="5"/>
  <c r="G646" i="5"/>
  <c r="G841" i="5"/>
  <c r="G1172" i="5"/>
  <c r="G1860" i="5"/>
  <c r="G2329" i="5"/>
  <c r="G3024" i="5"/>
  <c r="G3373" i="5"/>
  <c r="G152" i="5"/>
  <c r="G752" i="5"/>
  <c r="G941" i="5"/>
  <c r="G1039" i="5"/>
  <c r="G1257" i="5"/>
  <c r="G1450" i="5"/>
  <c r="G1720" i="5"/>
  <c r="G1758" i="5"/>
  <c r="G2220" i="5"/>
  <c r="G2849" i="5"/>
  <c r="G3130" i="5"/>
  <c r="G3306" i="5"/>
  <c r="G468" i="5"/>
  <c r="G45" i="5"/>
  <c r="G449" i="5"/>
  <c r="G1380" i="5"/>
  <c r="G1914" i="5"/>
  <c r="G2253" i="5"/>
  <c r="G2681" i="5"/>
  <c r="G3055" i="5"/>
  <c r="G3284" i="5"/>
  <c r="G3667" i="5"/>
  <c r="G3827" i="5"/>
  <c r="G3966" i="5"/>
  <c r="G4131" i="5"/>
  <c r="G4621" i="5"/>
  <c r="G4223" i="5"/>
  <c r="G4425" i="5"/>
  <c r="G4452" i="5"/>
  <c r="G4547" i="5"/>
  <c r="G3786" i="5"/>
  <c r="G4390" i="5"/>
  <c r="G4588" i="5"/>
  <c r="G3743" i="5"/>
  <c r="G3851" i="5"/>
  <c r="G4361" i="5"/>
  <c r="G270" i="5"/>
  <c r="G221" i="5"/>
  <c r="G391" i="5"/>
  <c r="G820" i="5"/>
  <c r="G1264" i="5"/>
  <c r="G1625" i="5"/>
  <c r="G1903" i="5"/>
  <c r="G2126" i="5"/>
  <c r="G2362" i="5"/>
  <c r="G2929" i="5"/>
  <c r="G3216" i="5"/>
  <c r="G419" i="5"/>
  <c r="G146" i="5"/>
  <c r="G654" i="5"/>
  <c r="G1386" i="5"/>
  <c r="G1611" i="5"/>
  <c r="G2021" i="5"/>
  <c r="G2705" i="5"/>
  <c r="G3272" i="5"/>
  <c r="G3562" i="5"/>
  <c r="G543" i="5"/>
  <c r="G1641" i="5"/>
  <c r="G2316" i="5"/>
  <c r="G2833" i="5"/>
  <c r="G3080" i="5"/>
  <c r="G3280" i="5"/>
  <c r="G413" i="5"/>
  <c r="G574" i="5"/>
  <c r="G829" i="5"/>
  <c r="G1084" i="5"/>
  <c r="G1186" i="5"/>
  <c r="G1512" i="5"/>
  <c r="G1624" i="5"/>
  <c r="G2016" i="5"/>
  <c r="G3279" i="5"/>
  <c r="G3361" i="5"/>
  <c r="G3419" i="5"/>
  <c r="G3502" i="5"/>
  <c r="G3785" i="5"/>
  <c r="G4020" i="5"/>
  <c r="G4011" i="5"/>
  <c r="G4283" i="5"/>
  <c r="G4105" i="5"/>
  <c r="G4352" i="5"/>
  <c r="G4522" i="5"/>
  <c r="G4171" i="5"/>
  <c r="G2663" i="5"/>
  <c r="G3039" i="5"/>
  <c r="G369" i="5"/>
  <c r="G3331" i="5"/>
  <c r="G3984" i="5"/>
  <c r="G49" i="5"/>
  <c r="G207" i="5"/>
  <c r="G56" i="5"/>
  <c r="G173" i="5"/>
  <c r="G296" i="5"/>
  <c r="G1950" i="5"/>
  <c r="G66" i="5"/>
  <c r="G323" i="5"/>
  <c r="G1951" i="5"/>
  <c r="G3995" i="5"/>
  <c r="G192" i="5"/>
  <c r="G257" i="5"/>
  <c r="G3601" i="5"/>
  <c r="G39" i="5"/>
  <c r="G104" i="5"/>
  <c r="G216" i="5"/>
  <c r="G12" i="5"/>
  <c r="G4231" i="5"/>
  <c r="G25" i="5"/>
  <c r="G8" i="5"/>
  <c r="G16" i="5"/>
  <c r="G113" i="5"/>
  <c r="G20" i="5"/>
  <c r="G79" i="5"/>
  <c r="G1924" i="5"/>
  <c r="G3707" i="5"/>
  <c r="G448" i="5"/>
  <c r="G272" i="5"/>
  <c r="G26" i="5"/>
  <c r="G108" i="5"/>
  <c r="G258" i="5"/>
  <c r="G3584" i="5"/>
  <c r="F14" i="7"/>
  <c r="F145" i="6"/>
  <c r="F290" i="6"/>
  <c r="F245" i="6"/>
  <c r="F283" i="6"/>
  <c r="F342" i="6"/>
  <c r="F282" i="6"/>
  <c r="F24" i="6"/>
  <c r="F139" i="6"/>
  <c r="F151" i="6"/>
  <c r="F73" i="6"/>
  <c r="H20" i="19" l="1"/>
  <c r="I20" i="19" s="1"/>
  <c r="H16" i="19"/>
  <c r="I16" i="19" s="1"/>
  <c r="H22" i="19"/>
  <c r="I22" i="19" s="1"/>
  <c r="H123" i="19"/>
  <c r="I123" i="19" s="1"/>
  <c r="H122" i="19"/>
  <c r="I122" i="19" s="1"/>
  <c r="H23" i="19"/>
  <c r="I23" i="19" s="1"/>
  <c r="H18" i="19"/>
  <c r="I18" i="19" s="1"/>
  <c r="H5963" i="5"/>
  <c r="E124" i="19" s="1"/>
  <c r="F125" i="7"/>
  <c r="F598" i="6"/>
  <c r="H5316" i="5"/>
  <c r="E119" i="19" s="1"/>
  <c r="F600" i="6"/>
  <c r="F596" i="6"/>
  <c r="F599" i="6"/>
  <c r="F595" i="6"/>
  <c r="F597" i="6"/>
  <c r="F110" i="7"/>
  <c r="F115" i="7"/>
  <c r="F112" i="7"/>
  <c r="F124" i="7"/>
  <c r="F111" i="7"/>
  <c r="F113" i="7"/>
  <c r="F116" i="7"/>
  <c r="F567" i="6"/>
  <c r="F534" i="6"/>
  <c r="F557" i="6"/>
  <c r="F519" i="6"/>
  <c r="F547" i="6"/>
  <c r="F553" i="6"/>
  <c r="F585" i="6"/>
  <c r="F552" i="6"/>
  <c r="F558" i="6"/>
  <c r="F584" i="6"/>
  <c r="F114" i="7"/>
  <c r="F533" i="6"/>
  <c r="H6115" i="5"/>
  <c r="E138" i="19" s="1"/>
  <c r="H6065" i="5"/>
  <c r="E134" i="19" s="1"/>
  <c r="H5989" i="5"/>
  <c r="E127" i="19" s="1"/>
  <c r="F528" i="6"/>
  <c r="F529" i="6"/>
  <c r="F546" i="6"/>
  <c r="H6074" i="5"/>
  <c r="E135" i="19" s="1"/>
  <c r="F540" i="6"/>
  <c r="F579" i="6"/>
  <c r="F578" i="6"/>
  <c r="F539" i="6"/>
  <c r="H6108" i="5"/>
  <c r="E137" i="19" s="1"/>
  <c r="F527" i="6"/>
  <c r="F545" i="6"/>
  <c r="F566" i="6"/>
  <c r="F568" i="6"/>
  <c r="F564" i="6"/>
  <c r="F517" i="6"/>
  <c r="F583" i="6"/>
  <c r="F591" i="6"/>
  <c r="F590" i="6"/>
  <c r="F569" i="6"/>
  <c r="H6003" i="5"/>
  <c r="E129" i="19" s="1"/>
  <c r="F551" i="6"/>
  <c r="F516" i="6"/>
  <c r="F518" i="6"/>
  <c r="F559" i="6"/>
  <c r="F565" i="6"/>
  <c r="F577" i="6"/>
  <c r="H5969" i="5"/>
  <c r="E125" i="19" s="1"/>
  <c r="H6011" i="5"/>
  <c r="E130" i="19" s="1"/>
  <c r="G519" i="5"/>
  <c r="H6055" i="5"/>
  <c r="E133" i="19" s="1"/>
  <c r="F508" i="6"/>
  <c r="F507" i="6"/>
  <c r="F505" i="6"/>
  <c r="F506" i="6"/>
  <c r="G5146" i="5"/>
  <c r="F488" i="6"/>
  <c r="F101" i="7"/>
  <c r="F102" i="7"/>
  <c r="F487" i="6"/>
  <c r="F495" i="6"/>
  <c r="F100" i="7"/>
  <c r="F485" i="6"/>
  <c r="F97" i="7"/>
  <c r="F99" i="7"/>
  <c r="F96" i="7"/>
  <c r="F494" i="6"/>
  <c r="F504" i="6"/>
  <c r="F98" i="7"/>
  <c r="F486" i="6"/>
  <c r="H5300" i="5"/>
  <c r="E116" i="19" s="1"/>
  <c r="F493" i="6"/>
  <c r="F491" i="6"/>
  <c r="F490" i="6"/>
  <c r="F489" i="6"/>
  <c r="F492" i="6"/>
  <c r="F496" i="6"/>
  <c r="H5275" i="5"/>
  <c r="E112" i="19" s="1"/>
  <c r="H5281" i="5"/>
  <c r="E113" i="19" s="1"/>
  <c r="H5238" i="5"/>
  <c r="E108" i="19" s="1"/>
  <c r="H5306" i="5"/>
  <c r="E117" i="19" s="1"/>
  <c r="H5216" i="5"/>
  <c r="E105" i="19" s="1"/>
  <c r="H5246" i="5"/>
  <c r="E109" i="19" s="1"/>
  <c r="H5312" i="5"/>
  <c r="E118" i="19" s="1"/>
  <c r="H5294" i="5"/>
  <c r="E115" i="19" s="1"/>
  <c r="G5231" i="5"/>
  <c r="G5222" i="5"/>
  <c r="H5177" i="5"/>
  <c r="E99" i="19" s="1"/>
  <c r="H5184" i="5"/>
  <c r="E100" i="19" s="1"/>
  <c r="G5197" i="5"/>
  <c r="H5191" i="5"/>
  <c r="E101" i="19" s="1"/>
  <c r="H5140" i="5"/>
  <c r="E93" i="19" s="1"/>
  <c r="F15" i="19"/>
  <c r="I15" i="19"/>
  <c r="F13" i="19"/>
  <c r="H13" i="19"/>
  <c r="I13" i="19" s="1"/>
  <c r="G858" i="5"/>
  <c r="H14" i="19"/>
  <c r="I14" i="19" s="1"/>
  <c r="F14" i="19"/>
  <c r="F120" i="19"/>
  <c r="H120" i="19"/>
  <c r="I120" i="19" s="1"/>
  <c r="H140" i="19"/>
  <c r="I140" i="19" s="1"/>
  <c r="F140" i="19"/>
  <c r="H24" i="19"/>
  <c r="I24" i="19" s="1"/>
  <c r="F22" i="19"/>
  <c r="F21" i="19"/>
  <c r="H21" i="19"/>
  <c r="I21" i="19" s="1"/>
  <c r="F20" i="19"/>
  <c r="F19" i="19"/>
  <c r="H19" i="19"/>
  <c r="I19" i="19" s="1"/>
  <c r="F18" i="19"/>
  <c r="F17" i="19"/>
  <c r="H17" i="19"/>
  <c r="I17" i="19" s="1"/>
  <c r="F16" i="19"/>
  <c r="H5447" i="5"/>
  <c r="F21" i="7"/>
  <c r="F20" i="7"/>
  <c r="F22" i="7"/>
  <c r="F444" i="6"/>
  <c r="F74" i="7"/>
  <c r="F471" i="6"/>
  <c r="F87" i="7"/>
  <c r="H118" i="5"/>
  <c r="G4137" i="5"/>
  <c r="F455" i="6"/>
  <c r="F442" i="6"/>
  <c r="F452" i="6"/>
  <c r="F474" i="6"/>
  <c r="F472" i="6"/>
  <c r="F76" i="7"/>
  <c r="F75" i="7"/>
  <c r="F473" i="6"/>
  <c r="F77" i="7"/>
  <c r="F84" i="7"/>
  <c r="F440" i="6"/>
  <c r="F441" i="6"/>
  <c r="F82" i="7"/>
  <c r="F85" i="7"/>
  <c r="F476" i="6"/>
  <c r="F83" i="7"/>
  <c r="F454" i="6"/>
  <c r="F477" i="6"/>
  <c r="F443" i="6"/>
  <c r="F475" i="6"/>
  <c r="F456" i="6"/>
  <c r="G4138" i="5"/>
  <c r="F88" i="7"/>
  <c r="F453" i="6"/>
  <c r="F86" i="7"/>
  <c r="H5543" i="5"/>
  <c r="H5495" i="5"/>
  <c r="H5483" i="5"/>
  <c r="H5511" i="5"/>
  <c r="H5475" i="5"/>
  <c r="H5523" i="5"/>
  <c r="H5507" i="5"/>
  <c r="H5487" i="5"/>
  <c r="H5519" i="5"/>
  <c r="H5471" i="5"/>
  <c r="H5499" i="5"/>
  <c r="H5531" i="5"/>
  <c r="H5535" i="5"/>
  <c r="H5459" i="5"/>
  <c r="H5463" i="5"/>
  <c r="G5559" i="5"/>
  <c r="G5555" i="5"/>
  <c r="G5945" i="5"/>
  <c r="G5567" i="5"/>
  <c r="G5547" i="5"/>
  <c r="G5571" i="5"/>
  <c r="G5946" i="5"/>
  <c r="G859" i="5"/>
  <c r="H5435" i="5"/>
  <c r="H5727" i="5"/>
  <c r="H5627" i="5"/>
  <c r="H5715" i="5"/>
  <c r="H5411" i="5"/>
  <c r="H5923" i="5"/>
  <c r="H5655" i="5"/>
  <c r="H5691" i="5"/>
  <c r="H5959" i="5"/>
  <c r="H5611" i="5"/>
  <c r="H5369" i="5"/>
  <c r="H5647" i="5"/>
  <c r="H5539" i="5"/>
  <c r="H5747" i="5"/>
  <c r="H5339" i="5"/>
  <c r="H5164" i="5"/>
  <c r="E97" i="19" s="1"/>
  <c r="H2725" i="5"/>
  <c r="H5807" i="5"/>
  <c r="H5939" i="5"/>
  <c r="H5467" i="5"/>
  <c r="G5563" i="5"/>
  <c r="G5551" i="5"/>
  <c r="H5795" i="5"/>
  <c r="H5699" i="5"/>
  <c r="H5819" i="5"/>
  <c r="H2717" i="5"/>
  <c r="G5899" i="5"/>
  <c r="G5859" i="5"/>
  <c r="H5879" i="5"/>
  <c r="H5711" i="5"/>
  <c r="H5803" i="5"/>
  <c r="H5579" i="5"/>
  <c r="H5583" i="5"/>
  <c r="G5839" i="5"/>
  <c r="H5357" i="5"/>
  <c r="H5955" i="5"/>
  <c r="H5587" i="5"/>
  <c r="H5327" i="5"/>
  <c r="H5503" i="5"/>
  <c r="H5451" i="5"/>
  <c r="H5871" i="5"/>
  <c r="H5527" i="5"/>
  <c r="H5345" i="5"/>
  <c r="H5399" i="5"/>
  <c r="G5847" i="5"/>
  <c r="H5687" i="5"/>
  <c r="H5703" i="5"/>
  <c r="H5751" i="5"/>
  <c r="G5575" i="5"/>
  <c r="H5158" i="5"/>
  <c r="E96" i="19" s="1"/>
  <c r="H5951" i="5"/>
  <c r="H5607" i="5"/>
  <c r="H5811" i="5"/>
  <c r="H5867" i="5"/>
  <c r="G5863" i="5"/>
  <c r="H5619" i="5"/>
  <c r="H5515" i="5"/>
  <c r="H5915" i="5"/>
  <c r="H5735" i="5"/>
  <c r="H5927" i="5"/>
  <c r="H5591" i="5"/>
  <c r="H5405" i="5"/>
  <c r="H5393" i="5"/>
  <c r="H5599" i="5"/>
  <c r="H5799" i="5"/>
  <c r="H5667" i="5"/>
  <c r="H5381" i="5"/>
  <c r="G5835" i="5"/>
  <c r="H5651" i="5"/>
  <c r="H5595" i="5"/>
  <c r="H5779" i="5"/>
  <c r="G5891" i="5"/>
  <c r="H5683" i="5"/>
  <c r="H5455" i="5"/>
  <c r="H5719" i="5"/>
  <c r="H5170" i="5"/>
  <c r="E98" i="19" s="1"/>
  <c r="H5731" i="5"/>
  <c r="H5787" i="5"/>
  <c r="H5823" i="5"/>
  <c r="H5815" i="5"/>
  <c r="H5911" i="5"/>
  <c r="H5623" i="5"/>
  <c r="H5387" i="5"/>
  <c r="H5755" i="5"/>
  <c r="H5695" i="5"/>
  <c r="H5441" i="5"/>
  <c r="G5947" i="5"/>
  <c r="H5883" i="5"/>
  <c r="H5635" i="5"/>
  <c r="G5851" i="5"/>
  <c r="H5767" i="5"/>
  <c r="H5935" i="5"/>
  <c r="H5903" i="5"/>
  <c r="H5875" i="5"/>
  <c r="H5931" i="5"/>
  <c r="H5723" i="5"/>
  <c r="H5743" i="5"/>
  <c r="H5363" i="5"/>
  <c r="G5843" i="5"/>
  <c r="H5887" i="5"/>
  <c r="H5671" i="5"/>
  <c r="H5479" i="5"/>
  <c r="H5615" i="5"/>
  <c r="H5919" i="5"/>
  <c r="H5417" i="5"/>
  <c r="H5603" i="5"/>
  <c r="H5759" i="5"/>
  <c r="H5791" i="5"/>
  <c r="H5739" i="5"/>
  <c r="H5152" i="5"/>
  <c r="E95" i="19" s="1"/>
  <c r="H5429" i="5"/>
  <c r="H5351" i="5"/>
  <c r="H5827" i="5"/>
  <c r="H5643" i="5"/>
  <c r="H5333" i="5"/>
  <c r="H5631" i="5"/>
  <c r="H5663" i="5"/>
  <c r="H5783" i="5"/>
  <c r="H5375" i="5"/>
  <c r="H5675" i="5"/>
  <c r="H5423" i="5"/>
  <c r="G5855" i="5"/>
  <c r="H5763" i="5"/>
  <c r="H5491" i="5"/>
  <c r="H5659" i="5"/>
  <c r="H5771" i="5"/>
  <c r="H5639" i="5"/>
  <c r="H5679" i="5"/>
  <c r="H2721" i="5"/>
  <c r="H5907" i="5"/>
  <c r="H5775" i="5"/>
  <c r="H5831" i="5"/>
  <c r="H5895" i="5"/>
  <c r="H5707" i="5"/>
  <c r="H2453" i="5"/>
  <c r="H2449" i="5"/>
  <c r="H2529" i="5"/>
  <c r="H2473" i="5"/>
  <c r="H2505" i="5"/>
  <c r="H2509" i="5"/>
  <c r="H2401" i="5"/>
  <c r="H2485" i="5"/>
  <c r="H2541" i="5"/>
  <c r="H2497" i="5"/>
  <c r="H2545" i="5"/>
  <c r="H2549" i="5"/>
  <c r="H2653" i="5"/>
  <c r="H2513" i="5"/>
  <c r="H2537" i="5"/>
  <c r="H2489" i="5"/>
  <c r="H2517" i="5"/>
  <c r="H2469" i="5"/>
  <c r="H2417" i="5"/>
  <c r="H2425" i="5"/>
  <c r="H2525" i="5"/>
  <c r="H2429" i="5"/>
  <c r="H2533" i="5"/>
  <c r="H2405" i="5"/>
  <c r="H2441" i="5"/>
  <c r="H2521" i="5"/>
  <c r="H2413" i="5"/>
  <c r="H2465" i="5"/>
  <c r="H2461" i="5"/>
  <c r="H2421" i="5"/>
  <c r="H2433" i="5"/>
  <c r="H2645" i="5"/>
  <c r="H2553" i="5"/>
  <c r="H2477" i="5"/>
  <c r="H2481" i="5"/>
  <c r="H2445" i="5"/>
  <c r="H2457" i="5"/>
  <c r="H2501" i="5"/>
  <c r="H2493" i="5"/>
  <c r="G5128" i="5"/>
  <c r="G5134" i="5"/>
  <c r="F429" i="6"/>
  <c r="F432" i="6"/>
  <c r="F430" i="6"/>
  <c r="F431" i="6"/>
  <c r="F362" i="6"/>
  <c r="F360" i="6"/>
  <c r="F361" i="6"/>
  <c r="F421" i="6"/>
  <c r="F419" i="6"/>
  <c r="F417" i="6"/>
  <c r="F418" i="6"/>
  <c r="F420" i="6"/>
  <c r="F386" i="6"/>
  <c r="F401" i="6"/>
  <c r="F65" i="7"/>
  <c r="H5026" i="5"/>
  <c r="H4816" i="5"/>
  <c r="H5052" i="5"/>
  <c r="F382" i="6"/>
  <c r="H4929" i="5"/>
  <c r="H5069" i="5"/>
  <c r="H4889" i="5"/>
  <c r="F369" i="6"/>
  <c r="F398" i="6"/>
  <c r="F63" i="7"/>
  <c r="F64" i="7"/>
  <c r="H5115" i="5"/>
  <c r="E91" i="19" s="1"/>
  <c r="F41" i="7"/>
  <c r="H4847" i="5"/>
  <c r="F399" i="6"/>
  <c r="H4960" i="5"/>
  <c r="H5082" i="5"/>
  <c r="H4990" i="5"/>
  <c r="H4804" i="5"/>
  <c r="H4840" i="5"/>
  <c r="F405" i="6"/>
  <c r="H5042" i="5"/>
  <c r="F367" i="6"/>
  <c r="F408" i="6"/>
  <c r="F409" i="6"/>
  <c r="H4876" i="5"/>
  <c r="H5012" i="5"/>
  <c r="H4866" i="5"/>
  <c r="H4685" i="5"/>
  <c r="H4998" i="5"/>
  <c r="F375" i="6"/>
  <c r="H4834" i="5"/>
  <c r="H4828" i="5"/>
  <c r="H4651" i="5"/>
  <c r="H4797" i="5"/>
  <c r="H4790" i="5"/>
  <c r="H4661" i="5"/>
  <c r="F49" i="7"/>
  <c r="F51" i="7"/>
  <c r="F366" i="6"/>
  <c r="F395" i="6"/>
  <c r="F368" i="6"/>
  <c r="F50" i="7"/>
  <c r="H4771" i="5"/>
  <c r="H4757" i="5"/>
  <c r="H4677" i="5"/>
  <c r="H4982" i="5"/>
  <c r="H4974" i="5"/>
  <c r="H4750" i="5"/>
  <c r="H5062" i="5"/>
  <c r="F407" i="6"/>
  <c r="H4882" i="5"/>
  <c r="F48" i="7"/>
  <c r="H4743" i="5"/>
  <c r="H4966" i="5"/>
  <c r="F52" i="7"/>
  <c r="F400" i="6"/>
  <c r="F396" i="6"/>
  <c r="H4903" i="5"/>
  <c r="F39" i="7"/>
  <c r="F390" i="6"/>
  <c r="H4693" i="5"/>
  <c r="H5076" i="5"/>
  <c r="F42" i="7"/>
  <c r="F397" i="6"/>
  <c r="H4709" i="5"/>
  <c r="H5018" i="5"/>
  <c r="H5034" i="5"/>
  <c r="H4764" i="5"/>
  <c r="H4942" i="5"/>
  <c r="F387" i="6"/>
  <c r="H4669" i="5"/>
  <c r="H4870" i="5"/>
  <c r="H4935" i="5"/>
  <c r="H4860" i="5"/>
  <c r="H4717" i="5"/>
  <c r="H4811" i="5"/>
  <c r="H4896" i="5"/>
  <c r="H4822" i="5"/>
  <c r="H4923" i="5"/>
  <c r="F38" i="7"/>
  <c r="F40" i="7"/>
  <c r="F376" i="6"/>
  <c r="H4778" i="5"/>
  <c r="F406" i="6"/>
  <c r="H5004" i="5"/>
  <c r="H4701" i="5"/>
  <c r="H4656" i="5"/>
  <c r="F381" i="6"/>
  <c r="F61" i="7"/>
  <c r="F43" i="7"/>
  <c r="F44" i="7"/>
  <c r="F62" i="7"/>
  <c r="G18" i="6"/>
  <c r="F388" i="6"/>
  <c r="G2245" i="5"/>
  <c r="G4953" i="5"/>
  <c r="G2271" i="5"/>
  <c r="G2291" i="5"/>
  <c r="G2301" i="5"/>
  <c r="G2281" i="5"/>
  <c r="G2261" i="5"/>
  <c r="H3344" i="5"/>
  <c r="G4911" i="5"/>
  <c r="G4917" i="5"/>
  <c r="G708" i="5"/>
  <c r="G4852" i="5"/>
  <c r="H3392" i="5"/>
  <c r="G4783" i="5"/>
  <c r="G680" i="5"/>
  <c r="H3152" i="5"/>
  <c r="H3157" i="5"/>
  <c r="E59" i="19" s="1"/>
  <c r="H3373" i="5"/>
  <c r="H192" i="5"/>
  <c r="H3990" i="5"/>
  <c r="H3020" i="5"/>
  <c r="H1813" i="5"/>
  <c r="H30" i="5"/>
  <c r="E29" i="19" s="1"/>
  <c r="H2657" i="5"/>
  <c r="H2346" i="5"/>
  <c r="H3388" i="5"/>
  <c r="H2705" i="5"/>
  <c r="H4621" i="5"/>
  <c r="H2208" i="5"/>
  <c r="H2750" i="5"/>
  <c r="H2755" i="5"/>
  <c r="F31" i="19"/>
  <c r="H94" i="5"/>
  <c r="H79" i="5"/>
  <c r="H2675" i="5"/>
  <c r="H123" i="5"/>
  <c r="F15" i="7"/>
  <c r="H1919" i="5"/>
  <c r="F10" i="6"/>
  <c r="H221" i="5"/>
  <c r="H654" i="5"/>
  <c r="H1818" i="5"/>
  <c r="H61" i="5"/>
  <c r="H185" i="5"/>
  <c r="H3589" i="5"/>
  <c r="E72" i="19" s="1"/>
  <c r="H3331" i="5"/>
  <c r="H829" i="5"/>
  <c r="H3571" i="5"/>
  <c r="H156" i="5"/>
  <c r="H2663" i="5"/>
  <c r="H3378" i="5"/>
  <c r="H3984" i="5"/>
  <c r="H3348" i="5"/>
  <c r="H163" i="5"/>
  <c r="H151" i="5"/>
  <c r="H99" i="5"/>
  <c r="H2681" i="5"/>
  <c r="H181" i="5"/>
  <c r="H199" i="5"/>
  <c r="H203" i="5"/>
  <c r="H658" i="5"/>
  <c r="H35" i="5"/>
  <c r="H177" i="5"/>
  <c r="H901" i="5"/>
  <c r="H137" i="5"/>
  <c r="H646" i="5"/>
  <c r="H128" i="5"/>
  <c r="H825" i="5"/>
  <c r="H1130" i="5"/>
  <c r="H3305" i="5"/>
  <c r="H39" i="5"/>
  <c r="H108" i="5"/>
  <c r="H216" i="5"/>
  <c r="H49" i="5"/>
  <c r="H146" i="5"/>
  <c r="H650" i="5"/>
  <c r="H44" i="5"/>
  <c r="H212" i="5"/>
  <c r="H84" i="5"/>
  <c r="H133" i="5"/>
  <c r="H2687" i="5"/>
  <c r="H2699" i="5"/>
  <c r="H226" i="5"/>
  <c r="E32" i="19" s="1"/>
  <c r="H141" i="5"/>
  <c r="H2669" i="5"/>
  <c r="H2711" i="5"/>
  <c r="H889" i="5"/>
  <c r="H1924" i="5"/>
  <c r="H1914" i="5"/>
  <c r="H89" i="5"/>
  <c r="H113" i="5"/>
  <c r="H12" i="5"/>
  <c r="E27" i="19" s="1"/>
  <c r="H168" i="5"/>
  <c r="H2693" i="5"/>
  <c r="H3090" i="5"/>
  <c r="H3707" i="5"/>
  <c r="H16" i="5"/>
  <c r="E7" i="19" s="1"/>
  <c r="H25" i="5"/>
  <c r="E28" i="19" s="1"/>
  <c r="H104" i="5"/>
  <c r="H66" i="5"/>
  <c r="H207" i="5"/>
  <c r="H8" i="5"/>
  <c r="E26" i="19" s="1"/>
  <c r="H173" i="5"/>
  <c r="H31" i="19" l="1"/>
  <c r="I31" i="19" s="1"/>
  <c r="G5323" i="5"/>
  <c r="G6102" i="5"/>
  <c r="G124" i="7"/>
  <c r="G577" i="6"/>
  <c r="G545" i="6"/>
  <c r="G551" i="6"/>
  <c r="G590" i="6"/>
  <c r="G5289" i="5"/>
  <c r="H5146" i="5"/>
  <c r="E94" i="19" s="1"/>
  <c r="G5232" i="5"/>
  <c r="G5223" i="5"/>
  <c r="H5210" i="5"/>
  <c r="E104" i="19" s="1"/>
  <c r="H5197" i="5"/>
  <c r="E102" i="19" s="1"/>
  <c r="G5205" i="5"/>
  <c r="H5559" i="5"/>
  <c r="G3119" i="5"/>
  <c r="H5547" i="5"/>
  <c r="H5555" i="5"/>
  <c r="H5571" i="5"/>
  <c r="H5567" i="5"/>
  <c r="H5891" i="5"/>
  <c r="H5835" i="5"/>
  <c r="H5851" i="5"/>
  <c r="H5575" i="5"/>
  <c r="H5859" i="5"/>
  <c r="H5551" i="5"/>
  <c r="H5943" i="5"/>
  <c r="H5847" i="5"/>
  <c r="H5899" i="5"/>
  <c r="H5563" i="5"/>
  <c r="H5855" i="5"/>
  <c r="H5843" i="5"/>
  <c r="H5863" i="5"/>
  <c r="H5839" i="5"/>
  <c r="H5134" i="5"/>
  <c r="H5128" i="5"/>
  <c r="G5111" i="5"/>
  <c r="G38" i="7"/>
  <c r="G395" i="6"/>
  <c r="H716" i="5"/>
  <c r="H2268" i="5"/>
  <c r="H4949" i="5"/>
  <c r="H4911" i="5"/>
  <c r="H4917" i="5"/>
  <c r="H2258" i="5"/>
  <c r="H2278" i="5"/>
  <c r="H2298" i="5"/>
  <c r="H2288" i="5"/>
  <c r="H706" i="5"/>
  <c r="H4852" i="5"/>
  <c r="H678" i="5"/>
  <c r="G4647" i="5"/>
  <c r="G4638" i="5"/>
  <c r="H5323" i="5" l="1"/>
  <c r="E141" i="19" s="1"/>
  <c r="H6093" i="5"/>
  <c r="H5230" i="5"/>
  <c r="E107" i="19" s="1"/>
  <c r="G5224" i="5"/>
  <c r="G5206" i="5"/>
  <c r="H5107" i="5"/>
  <c r="G4784" i="5"/>
  <c r="H4735" i="5"/>
  <c r="G4726" i="5"/>
  <c r="H4646" i="5"/>
  <c r="G4628" i="5"/>
  <c r="G5984" i="5" l="1"/>
  <c r="G6047" i="5"/>
  <c r="G6048" i="5"/>
  <c r="G5999" i="5"/>
  <c r="G5290" i="5"/>
  <c r="H5222" i="5"/>
  <c r="E106" i="19" s="1"/>
  <c r="H5203" i="5"/>
  <c r="E103" i="19" s="1"/>
  <c r="H4783" i="5"/>
  <c r="H4725" i="5"/>
  <c r="H113" i="19" l="1"/>
  <c r="I113" i="19" s="1"/>
  <c r="F116" i="19"/>
  <c r="F586" i="6"/>
  <c r="G583" i="6" s="1"/>
  <c r="H5995" i="5"/>
  <c r="E128" i="19" s="1"/>
  <c r="F113" i="19"/>
  <c r="H5287" i="5"/>
  <c r="E114" i="19" s="1"/>
  <c r="F121" i="19"/>
  <c r="H121" i="19"/>
  <c r="I121" i="19" s="1"/>
  <c r="F370" i="6"/>
  <c r="H138" i="19" l="1"/>
  <c r="I138" i="19" s="1"/>
  <c r="H124" i="19"/>
  <c r="I124" i="19" s="1"/>
  <c r="H117" i="19"/>
  <c r="I117" i="19" s="1"/>
  <c r="H116" i="19"/>
  <c r="I116" i="19" s="1"/>
  <c r="F127" i="19"/>
  <c r="F124" i="19"/>
  <c r="F138" i="19"/>
  <c r="H112" i="19"/>
  <c r="I112" i="19" s="1"/>
  <c r="F112" i="19"/>
  <c r="F117" i="19"/>
  <c r="G4629" i="5"/>
  <c r="G4639" i="5"/>
  <c r="G4613" i="5"/>
  <c r="H125" i="19" l="1"/>
  <c r="I125" i="19" s="1"/>
  <c r="H127" i="19"/>
  <c r="I127" i="19" s="1"/>
  <c r="H119" i="19"/>
  <c r="I119" i="19" s="1"/>
  <c r="H105" i="19"/>
  <c r="I105" i="19" s="1"/>
  <c r="H109" i="19"/>
  <c r="I109" i="19" s="1"/>
  <c r="H130" i="19"/>
  <c r="I130" i="19" s="1"/>
  <c r="H99" i="19"/>
  <c r="I99" i="19" s="1"/>
  <c r="H101" i="19"/>
  <c r="I101" i="19" s="1"/>
  <c r="H118" i="19"/>
  <c r="I118" i="19" s="1"/>
  <c r="H129" i="19"/>
  <c r="I129" i="19" s="1"/>
  <c r="H135" i="19"/>
  <c r="I135" i="19" s="1"/>
  <c r="H134" i="19"/>
  <c r="I134" i="19" s="1"/>
  <c r="H108" i="19"/>
  <c r="I108" i="19" s="1"/>
  <c r="H93" i="19"/>
  <c r="I93" i="19" s="1"/>
  <c r="H133" i="19"/>
  <c r="I133" i="19" s="1"/>
  <c r="H100" i="19"/>
  <c r="I100" i="19" s="1"/>
  <c r="H115" i="19"/>
  <c r="I115" i="19" s="1"/>
  <c r="H137" i="19"/>
  <c r="I137" i="19" s="1"/>
  <c r="F119" i="19"/>
  <c r="F137" i="19"/>
  <c r="F134" i="19"/>
  <c r="F130" i="19"/>
  <c r="F135" i="19"/>
  <c r="F129" i="19"/>
  <c r="F125" i="19"/>
  <c r="F133" i="19"/>
  <c r="F105" i="19"/>
  <c r="F109" i="19"/>
  <c r="F108" i="19"/>
  <c r="F115" i="19"/>
  <c r="F118" i="19"/>
  <c r="F101" i="19"/>
  <c r="F100" i="19"/>
  <c r="F93" i="19"/>
  <c r="F99" i="19"/>
  <c r="F97" i="19"/>
  <c r="F94" i="19"/>
  <c r="F98" i="19"/>
  <c r="H4626" i="5"/>
  <c r="H4636" i="5"/>
  <c r="H102" i="19" l="1"/>
  <c r="I102" i="19" s="1"/>
  <c r="H98" i="19"/>
  <c r="I98" i="19" s="1"/>
  <c r="H94" i="19"/>
  <c r="I94" i="19" s="1"/>
  <c r="H91" i="19"/>
  <c r="I91" i="19" s="1"/>
  <c r="H95" i="19"/>
  <c r="I95" i="19" s="1"/>
  <c r="H96" i="19"/>
  <c r="I96" i="19" s="1"/>
  <c r="H141" i="19"/>
  <c r="I141" i="19" s="1"/>
  <c r="H107" i="19"/>
  <c r="I107" i="19" s="1"/>
  <c r="H97" i="19"/>
  <c r="I97" i="19" s="1"/>
  <c r="G5983" i="5"/>
  <c r="F141" i="19"/>
  <c r="F107" i="19"/>
  <c r="F102" i="19"/>
  <c r="F91" i="19"/>
  <c r="F96" i="19"/>
  <c r="F95" i="19"/>
  <c r="G5099" i="5"/>
  <c r="H104" i="19" l="1"/>
  <c r="I104" i="19" s="1"/>
  <c r="F104" i="19"/>
  <c r="H106" i="19" l="1"/>
  <c r="I106" i="19" s="1"/>
  <c r="H103" i="19"/>
  <c r="I103" i="19" s="1"/>
  <c r="F106" i="19"/>
  <c r="F103" i="19"/>
  <c r="H128" i="19" l="1"/>
  <c r="I128" i="19" s="1"/>
  <c r="H114" i="19"/>
  <c r="I114" i="19" s="1"/>
  <c r="F128" i="19"/>
  <c r="F114" i="19"/>
  <c r="G1980" i="5" l="1"/>
  <c r="G3310" i="5"/>
  <c r="G1605" i="5" l="1"/>
  <c r="G4035" i="5"/>
  <c r="G608" i="5"/>
  <c r="G1844" i="5"/>
  <c r="G4497" i="5"/>
  <c r="G2098" i="5"/>
  <c r="G4617" i="5"/>
  <c r="G1124" i="5"/>
  <c r="G1892" i="5"/>
  <c r="G3864" i="5"/>
  <c r="G3028" i="5"/>
  <c r="G2363" i="5"/>
  <c r="G3086" i="5"/>
  <c r="G1177" i="5"/>
  <c r="G3066" i="5"/>
  <c r="G507" i="5"/>
  <c r="G500" i="5"/>
  <c r="G4082" i="5"/>
  <c r="G1336" i="5"/>
  <c r="G3514" i="5"/>
  <c r="G2965" i="5"/>
  <c r="G775" i="5"/>
  <c r="G2985" i="5"/>
  <c r="G1699" i="5"/>
  <c r="G2228" i="5"/>
  <c r="G3729" i="5"/>
  <c r="G3318" i="5"/>
  <c r="G1019" i="5"/>
  <c r="G698" i="5"/>
  <c r="G1057" i="5"/>
  <c r="G4094" i="5"/>
  <c r="G2334" i="5"/>
  <c r="G1219" i="5"/>
  <c r="G4228" i="5"/>
  <c r="G3296" i="5"/>
  <c r="G662" i="5"/>
  <c r="G4464" i="5"/>
  <c r="G4045" i="5"/>
  <c r="G1442" i="5"/>
  <c r="G1457" i="5"/>
  <c r="G1428" i="5"/>
  <c r="G1586" i="5"/>
  <c r="G4324" i="5"/>
  <c r="G3432" i="5"/>
  <c r="G3470" i="5"/>
  <c r="G3457" i="5"/>
  <c r="G1409" i="5"/>
  <c r="G338" i="5"/>
  <c r="G2776" i="5"/>
  <c r="G1411" i="5"/>
  <c r="G336" i="5"/>
  <c r="G1407" i="5"/>
  <c r="G4269" i="5"/>
  <c r="G3399" i="5"/>
  <c r="G2781" i="5"/>
  <c r="G1695" i="5"/>
  <c r="G1415" i="5"/>
  <c r="G3997" i="5"/>
  <c r="G3818" i="5"/>
  <c r="G3235" i="5"/>
  <c r="G3398" i="5"/>
  <c r="G3537" i="5"/>
  <c r="G2895" i="5"/>
  <c r="G1583" i="5"/>
  <c r="G1502" i="5"/>
  <c r="G1486" i="5"/>
  <c r="G1588" i="5"/>
  <c r="G1454" i="5"/>
  <c r="G1443" i="5"/>
  <c r="G252" i="5"/>
  <c r="G3812" i="5"/>
  <c r="G3433" i="5"/>
  <c r="G2850" i="5"/>
  <c r="G1836" i="5"/>
  <c r="G1474" i="5"/>
  <c r="G1469" i="5"/>
  <c r="G1424" i="5"/>
  <c r="G1490" i="5"/>
  <c r="G1437" i="5"/>
  <c r="G4556" i="5"/>
  <c r="G4353" i="5"/>
  <c r="G3408" i="5"/>
  <c r="G3228" i="5"/>
  <c r="G1444" i="5"/>
  <c r="G1499" i="5"/>
  <c r="G4555" i="5"/>
  <c r="G1412" i="5"/>
  <c r="G1422" i="5"/>
  <c r="G4267" i="5"/>
  <c r="G4544" i="5"/>
  <c r="G1413" i="5"/>
  <c r="G4276" i="5"/>
  <c r="G4322" i="5"/>
  <c r="G3523" i="5"/>
  <c r="G1467" i="5"/>
  <c r="G4162" i="5"/>
  <c r="G4057" i="5"/>
  <c r="G3536" i="5"/>
  <c r="G1766" i="5"/>
  <c r="G1694" i="5"/>
  <c r="H1336" i="5" l="1"/>
  <c r="G1429" i="5"/>
  <c r="G1910" i="5"/>
  <c r="G1904" i="5"/>
  <c r="G4354" i="5"/>
  <c r="G1430" i="5"/>
  <c r="G4277" i="5"/>
  <c r="G2192" i="5"/>
  <c r="G1510" i="5"/>
  <c r="G1487" i="5"/>
  <c r="G330" i="5"/>
  <c r="G2786" i="5"/>
  <c r="G1414" i="5"/>
  <c r="G1582" i="5"/>
  <c r="G2915" i="5"/>
  <c r="G4268" i="5"/>
  <c r="G1542" i="5"/>
  <c r="G2184" i="5"/>
  <c r="G1534" i="5"/>
  <c r="G4163" i="5"/>
  <c r="G4285" i="5"/>
  <c r="G3263" i="5"/>
  <c r="G3270" i="5"/>
  <c r="G1526" i="5"/>
  <c r="G2935" i="5"/>
  <c r="G337" i="5"/>
  <c r="G358" i="5"/>
  <c r="G333" i="5"/>
  <c r="G1458" i="5"/>
  <c r="G1475" i="5"/>
  <c r="G1501" i="5"/>
  <c r="G1489" i="5"/>
  <c r="G1503" i="5"/>
  <c r="G4284" i="5"/>
  <c r="G2944" i="5"/>
  <c r="G2200" i="5"/>
  <c r="G3256" i="5"/>
  <c r="G1488" i="5"/>
  <c r="G339" i="5"/>
  <c r="G1452" i="5"/>
  <c r="G1484" i="5"/>
  <c r="G2613" i="5"/>
  <c r="G4286" i="5"/>
  <c r="G3492" i="5"/>
  <c r="G1497" i="5"/>
  <c r="G1445" i="5"/>
  <c r="G3650" i="5"/>
  <c r="G1471" i="5"/>
  <c r="G3471" i="5"/>
  <c r="G3493" i="5"/>
  <c r="G1473" i="5"/>
  <c r="G1439" i="5"/>
  <c r="G1456" i="5"/>
  <c r="G1505" i="5"/>
  <c r="G1504" i="5"/>
  <c r="G1460" i="5"/>
  <c r="G2828" i="5"/>
  <c r="G1472" i="5"/>
  <c r="G2771" i="5"/>
  <c r="G4557" i="5"/>
  <c r="G2940" i="5"/>
  <c r="G2930" i="5"/>
  <c r="G1427" i="5"/>
  <c r="G2793" i="5"/>
  <c r="G3221" i="5"/>
  <c r="G475" i="5"/>
  <c r="G4505" i="5"/>
  <c r="G4266" i="5"/>
  <c r="G3504" i="5"/>
  <c r="G4554" i="5"/>
  <c r="G1759" i="5"/>
  <c r="G1459" i="5"/>
  <c r="G4270" i="5"/>
  <c r="G4058" i="5"/>
  <c r="G4278" i="5"/>
  <c r="G1581" i="5"/>
  <c r="G1589" i="5"/>
  <c r="G3409" i="5"/>
  <c r="G1587" i="5"/>
  <c r="G746" i="5"/>
  <c r="G3277" i="5"/>
  <c r="G2920" i="5"/>
  <c r="G1585" i="5"/>
  <c r="G4553" i="5"/>
  <c r="G4064" i="5"/>
  <c r="G1441" i="5"/>
  <c r="G3649" i="5"/>
  <c r="G4323" i="5"/>
  <c r="G1518" i="5"/>
  <c r="G3242" i="5"/>
  <c r="G3249" i="5"/>
  <c r="G1482" i="5"/>
  <c r="G3458" i="5"/>
  <c r="G1426" i="5"/>
  <c r="G1159" i="5"/>
  <c r="G575" i="5"/>
  <c r="G4340" i="5"/>
  <c r="G4229" i="5"/>
  <c r="G4300" i="5"/>
  <c r="G3978" i="5"/>
  <c r="G3366" i="5"/>
  <c r="G4462" i="5"/>
  <c r="G3920" i="5"/>
  <c r="G3383" i="5"/>
  <c r="G1646" i="5"/>
  <c r="G951" i="5"/>
  <c r="G4116" i="5"/>
  <c r="G4069" i="5"/>
  <c r="G3686" i="5"/>
  <c r="G2629" i="5"/>
  <c r="G3187" i="5"/>
  <c r="G417" i="5"/>
  <c r="G843" i="5"/>
  <c r="G3482" i="5"/>
  <c r="G993" i="5"/>
  <c r="G1795" i="5"/>
  <c r="G541" i="5"/>
  <c r="G774" i="5"/>
  <c r="G871" i="5"/>
  <c r="G404" i="5"/>
  <c r="G884" i="5"/>
  <c r="G4124" i="5"/>
  <c r="G3605" i="5"/>
  <c r="G3037" i="5"/>
  <c r="G1262" i="5"/>
  <c r="G4535" i="5"/>
  <c r="G3950" i="5"/>
  <c r="G4189" i="5"/>
  <c r="G3567" i="5"/>
  <c r="G2006" i="5"/>
  <c r="G609" i="5"/>
  <c r="G2879" i="5"/>
  <c r="G806" i="5"/>
  <c r="G293" i="5"/>
  <c r="G983" i="5"/>
  <c r="G410" i="5"/>
  <c r="G1289" i="5"/>
  <c r="G671" i="5"/>
  <c r="H662" i="5"/>
  <c r="G4584" i="5"/>
  <c r="G4358" i="5"/>
  <c r="G4521" i="5"/>
  <c r="G3922" i="5"/>
  <c r="G3311" i="5"/>
  <c r="G3297" i="5"/>
  <c r="G1559" i="5"/>
  <c r="G928" i="5"/>
  <c r="G4075" i="5"/>
  <c r="G3577" i="5"/>
  <c r="G2239" i="5"/>
  <c r="G1254" i="5"/>
  <c r="G3145" i="5"/>
  <c r="G666" i="5"/>
  <c r="G821" i="5"/>
  <c r="G343" i="5"/>
  <c r="G1013" i="5"/>
  <c r="G408" i="5"/>
  <c r="G1248" i="5"/>
  <c r="G642" i="5"/>
  <c r="G71" i="5"/>
  <c r="G1178" i="5"/>
  <c r="G1136" i="5"/>
  <c r="G778" i="5"/>
  <c r="G279" i="5"/>
  <c r="G4431" i="5"/>
  <c r="G4490" i="5"/>
  <c r="G3027" i="5"/>
  <c r="G4169" i="5"/>
  <c r="G1241" i="5"/>
  <c r="G4449" i="5"/>
  <c r="G3938" i="5"/>
  <c r="G3335" i="5"/>
  <c r="G1565" i="5"/>
  <c r="G2122" i="5"/>
  <c r="G835" i="5"/>
  <c r="G2855" i="5"/>
  <c r="G261" i="5"/>
  <c r="G1072" i="5"/>
  <c r="G4302" i="5"/>
  <c r="G4406" i="5"/>
  <c r="G4196" i="5"/>
  <c r="G3774" i="5"/>
  <c r="G3740" i="5"/>
  <c r="G3170" i="5"/>
  <c r="G3888" i="5"/>
  <c r="G1874" i="5"/>
  <c r="H2334" i="5"/>
  <c r="H1019" i="5"/>
  <c r="H1699" i="5"/>
  <c r="G4479" i="5"/>
  <c r="G4315" i="5"/>
  <c r="G3635" i="5"/>
  <c r="G4036" i="5"/>
  <c r="G1143" i="5"/>
  <c r="G602" i="5"/>
  <c r="G2871" i="5"/>
  <c r="G1065" i="5"/>
  <c r="G563" i="5"/>
  <c r="G4487" i="5"/>
  <c r="G2389" i="5"/>
  <c r="G1051" i="5"/>
  <c r="G255" i="5"/>
  <c r="G4401" i="5"/>
  <c r="G4364" i="5"/>
  <c r="G1760" i="5"/>
  <c r="G798" i="5"/>
  <c r="G314" i="5"/>
  <c r="G4233" i="5"/>
  <c r="G3445" i="5"/>
  <c r="G3923" i="5"/>
  <c r="G3446" i="5"/>
  <c r="G985" i="5"/>
  <c r="G3907" i="5"/>
  <c r="G1564" i="5"/>
  <c r="G1978" i="5"/>
  <c r="G1767" i="5"/>
  <c r="G1026" i="5"/>
  <c r="G466" i="5"/>
  <c r="G1198" i="5"/>
  <c r="G702" i="5"/>
  <c r="G3949" i="5"/>
  <c r="G535" i="5"/>
  <c r="G768" i="5"/>
  <c r="G322" i="5"/>
  <c r="G456" i="5"/>
  <c r="G4019" i="5"/>
  <c r="G3200" i="5"/>
  <c r="G992" i="5"/>
  <c r="G4529" i="5"/>
  <c r="G4596" i="5"/>
  <c r="G4602" i="5"/>
  <c r="G4161" i="5"/>
  <c r="G3658" i="5"/>
  <c r="G4259" i="5"/>
  <c r="G3840" i="5"/>
  <c r="G3202" i="5"/>
  <c r="G1410" i="5"/>
  <c r="G4017" i="5"/>
  <c r="G3538" i="5"/>
  <c r="G2561" i="5"/>
  <c r="G356" i="5"/>
  <c r="G1629" i="5"/>
  <c r="G599" i="5"/>
  <c r="G3136" i="5"/>
  <c r="G777" i="5"/>
  <c r="G964" i="5"/>
  <c r="G411" i="5"/>
  <c r="G3932" i="5"/>
  <c r="G3699" i="5"/>
  <c r="G2585" i="5"/>
  <c r="G1164" i="5"/>
  <c r="G4301" i="5"/>
  <c r="G3783" i="5"/>
  <c r="G1382" i="5"/>
  <c r="G1593" i="5"/>
  <c r="G1485" i="5"/>
  <c r="G957" i="5"/>
  <c r="G396" i="5"/>
  <c r="G797" i="5"/>
  <c r="G4587" i="5"/>
  <c r="G1302" i="5"/>
  <c r="G2975" i="5"/>
  <c r="G1163" i="5"/>
  <c r="G4430" i="5"/>
  <c r="G1780" i="5"/>
  <c r="G1330" i="5"/>
  <c r="G1005" i="5"/>
  <c r="G2377" i="5"/>
  <c r="G1114" i="5"/>
  <c r="G2367" i="5"/>
  <c r="G3848" i="5"/>
  <c r="H2098" i="5"/>
  <c r="G4232" i="5"/>
  <c r="G4459" i="5"/>
  <c r="G3768" i="5"/>
  <c r="G4510" i="5"/>
  <c r="G3921" i="5"/>
  <c r="G3431" i="5"/>
  <c r="G3324" i="5"/>
  <c r="G1425" i="5"/>
  <c r="G1470" i="5"/>
  <c r="G758" i="5"/>
  <c r="G256" i="5"/>
  <c r="G930" i="5"/>
  <c r="G3525" i="5"/>
  <c r="G3760" i="5"/>
  <c r="G885" i="5"/>
  <c r="G1044" i="5"/>
  <c r="G551" i="5"/>
  <c r="G4466" i="5"/>
  <c r="G3614" i="5"/>
  <c r="G3593" i="5"/>
  <c r="G1088" i="5"/>
  <c r="G4198" i="5"/>
  <c r="G4451" i="5"/>
  <c r="G3956" i="5"/>
  <c r="G3490" i="5"/>
  <c r="G1999" i="5"/>
  <c r="G1212" i="5"/>
  <c r="G2308" i="5"/>
  <c r="G626" i="5"/>
  <c r="G808" i="5"/>
  <c r="G984" i="5"/>
  <c r="G425" i="5"/>
  <c r="G2176" i="5"/>
  <c r="G4455" i="5"/>
  <c r="G4176" i="5"/>
  <c r="G3622" i="5"/>
  <c r="G2322" i="5"/>
  <c r="G1149" i="5"/>
  <c r="G4012" i="5"/>
  <c r="G4009" i="5"/>
  <c r="G3530" i="5"/>
  <c r="G2593" i="5"/>
  <c r="G1024" i="5"/>
  <c r="G355" i="5"/>
  <c r="G1358" i="5"/>
  <c r="G590" i="5"/>
  <c r="G776" i="5"/>
  <c r="G958" i="5"/>
  <c r="G387" i="5"/>
  <c r="G4044" i="5"/>
  <c r="G3481" i="5"/>
  <c r="G4363" i="5"/>
  <c r="G4585" i="5"/>
  <c r="G4310" i="5"/>
  <c r="G3739" i="5"/>
  <c r="G2637" i="5"/>
  <c r="G2621" i="5"/>
  <c r="G1215" i="5"/>
  <c r="G4386" i="5"/>
  <c r="G4316" i="5"/>
  <c r="G3891" i="5"/>
  <c r="G1500" i="5"/>
  <c r="G1781" i="5"/>
  <c r="G1599" i="5"/>
  <c r="G799" i="5"/>
  <c r="G763" i="5"/>
  <c r="G556" i="5"/>
  <c r="G3454" i="5"/>
  <c r="G3772" i="5"/>
  <c r="G3750" i="5"/>
  <c r="G4103" i="5"/>
  <c r="G1972" i="5"/>
  <c r="G1027" i="5"/>
  <c r="G476" i="5"/>
  <c r="G634" i="5"/>
  <c r="G4465" i="5"/>
  <c r="G4486" i="5"/>
  <c r="G3865" i="5"/>
  <c r="G3971" i="5"/>
  <c r="G3576" i="5"/>
  <c r="G2160" i="5"/>
  <c r="G1058" i="5"/>
  <c r="G4450" i="5"/>
  <c r="G3947" i="5"/>
  <c r="G3489" i="5"/>
  <c r="G2013" i="5"/>
  <c r="G1572" i="5"/>
  <c r="G734" i="5"/>
  <c r="G244" i="5"/>
  <c r="G329" i="5"/>
  <c r="G1170" i="5"/>
  <c r="G3056" i="5"/>
  <c r="G1270" i="5"/>
  <c r="G2340" i="5"/>
  <c r="G1831" i="5"/>
  <c r="G1142" i="5"/>
  <c r="G2990" i="5"/>
  <c r="G1850" i="5"/>
  <c r="G2980" i="5"/>
  <c r="G3651" i="5"/>
  <c r="G1748" i="5"/>
  <c r="G738" i="5"/>
  <c r="G1747" i="5"/>
  <c r="G1106" i="5"/>
  <c r="G2845" i="5"/>
  <c r="G4575" i="5"/>
  <c r="G3877" i="5"/>
  <c r="G3199" i="5"/>
  <c r="G3798" i="5"/>
  <c r="G3181" i="5"/>
  <c r="G1303" i="5"/>
  <c r="G4001" i="5"/>
  <c r="G2007" i="5"/>
  <c r="G854" i="5"/>
  <c r="G499" i="5"/>
  <c r="G1345" i="5"/>
  <c r="G4536" i="5"/>
  <c r="G4170" i="5"/>
  <c r="G4194" i="5"/>
  <c r="G3662" i="5"/>
  <c r="G4292" i="5"/>
  <c r="G3857" i="5"/>
  <c r="G1455" i="5"/>
  <c r="G920" i="5"/>
  <c r="G4056" i="5"/>
  <c r="G4242" i="5"/>
  <c r="G3599" i="5"/>
  <c r="G3847" i="5"/>
  <c r="G1401" i="5"/>
  <c r="G1304" i="5"/>
  <c r="G3583" i="5"/>
  <c r="G938" i="5"/>
  <c r="G359" i="5"/>
  <c r="G1081" i="5"/>
  <c r="G506" i="5"/>
  <c r="G725" i="5"/>
  <c r="G230" i="5"/>
  <c r="G4360" i="5"/>
  <c r="G4561" i="5"/>
  <c r="G2577" i="5"/>
  <c r="G4150" i="5"/>
  <c r="G3352" i="5"/>
  <c r="G1600" i="5"/>
  <c r="G937" i="5"/>
  <c r="G4110" i="5"/>
  <c r="G4306" i="5"/>
  <c r="G2625" i="5"/>
  <c r="G3137" i="5"/>
  <c r="G1090" i="5"/>
  <c r="G54" i="5"/>
  <c r="G367" i="5"/>
  <c r="G4370" i="5"/>
  <c r="G4335" i="5"/>
  <c r="G4018" i="5"/>
  <c r="G4537" i="5"/>
  <c r="G1774" i="5"/>
  <c r="G4420" i="5"/>
  <c r="G809" i="5"/>
  <c r="G879" i="5"/>
  <c r="G310" i="5"/>
  <c r="G4438" i="5"/>
  <c r="G4295" i="5"/>
  <c r="G3806" i="5"/>
  <c r="G3132" i="5"/>
  <c r="G3948" i="5"/>
  <c r="G3561" i="5"/>
  <c r="G2152" i="5"/>
  <c r="G1037" i="5"/>
  <c r="G4188" i="5"/>
  <c r="G3931" i="5"/>
  <c r="G1550" i="5"/>
  <c r="G1802" i="5"/>
  <c r="G1623" i="5"/>
  <c r="G800" i="5"/>
  <c r="G253" i="5"/>
  <c r="G995" i="5"/>
  <c r="G4468" i="5"/>
  <c r="G4312" i="5"/>
  <c r="G4437" i="5"/>
  <c r="G3874" i="5"/>
  <c r="G3172" i="5"/>
  <c r="G4200" i="5"/>
  <c r="G3126" i="5"/>
  <c r="G1298" i="5"/>
  <c r="G3977" i="5"/>
  <c r="G3957" i="5"/>
  <c r="G3491" i="5"/>
  <c r="G2144" i="5"/>
  <c r="G2557" i="5"/>
  <c r="G299" i="5"/>
  <c r="G1185" i="5"/>
  <c r="G1835" i="5"/>
  <c r="G757" i="5"/>
  <c r="G906" i="5"/>
  <c r="G383" i="5"/>
  <c r="G4190" i="5"/>
  <c r="G912" i="5"/>
  <c r="G4055" i="5"/>
  <c r="G1035" i="5"/>
  <c r="G294" i="5"/>
  <c r="G4359" i="5"/>
  <c r="G4545" i="5"/>
  <c r="G4296" i="5"/>
  <c r="G3887" i="5"/>
  <c r="G761" i="5"/>
  <c r="G1107" i="5"/>
  <c r="G572" i="5"/>
  <c r="G4088" i="5"/>
  <c r="G4238" i="5"/>
  <c r="G4005" i="5"/>
  <c r="G2357" i="5"/>
  <c r="G1274" i="5"/>
  <c r="G3410" i="5"/>
  <c r="G3442" i="5"/>
  <c r="G2388" i="5"/>
  <c r="H2361" i="5"/>
  <c r="H1124" i="5"/>
  <c r="H1842" i="5"/>
  <c r="G4366" i="5"/>
  <c r="G4616" i="5"/>
  <c r="G1652" i="5"/>
  <c r="G972" i="5"/>
  <c r="G4133" i="5"/>
  <c r="G4100" i="5"/>
  <c r="G3886" i="5"/>
  <c r="G939" i="5"/>
  <c r="G2437" i="5"/>
  <c r="G742" i="5"/>
  <c r="G238" i="5"/>
  <c r="G4291" i="5"/>
  <c r="G4543" i="5"/>
  <c r="G3797" i="5"/>
  <c r="G3098" i="5"/>
  <c r="G3941" i="5"/>
  <c r="G1012" i="5"/>
  <c r="G4187" i="5"/>
  <c r="G3930" i="5"/>
  <c r="G1594" i="5"/>
  <c r="G2216" i="5"/>
  <c r="G836" i="5"/>
  <c r="G246" i="5"/>
  <c r="G1064" i="5"/>
  <c r="G477" i="5"/>
  <c r="G4511" i="5"/>
  <c r="G4164" i="5"/>
  <c r="G3996" i="5"/>
  <c r="G2887" i="5"/>
  <c r="G309" i="5"/>
  <c r="G73" i="5"/>
  <c r="G4328" i="5"/>
  <c r="G4090" i="5"/>
  <c r="G2309" i="5"/>
  <c r="G286" i="5"/>
  <c r="G4193" i="5"/>
  <c r="G4199" i="5"/>
  <c r="G3691" i="5"/>
  <c r="G4311" i="5"/>
  <c r="G3876" i="5"/>
  <c r="G2409" i="5"/>
  <c r="G4255" i="5"/>
  <c r="G4290" i="5"/>
  <c r="G3885" i="5"/>
  <c r="G3731" i="5"/>
  <c r="G2569" i="5"/>
  <c r="G994" i="5"/>
  <c r="G313" i="5"/>
  <c r="G1255" i="5"/>
  <c r="G3013" i="5"/>
  <c r="G762" i="5"/>
  <c r="G234" i="5"/>
  <c r="G911" i="5"/>
  <c r="G385" i="5"/>
  <c r="G4153" i="5"/>
  <c r="G3741" i="5"/>
  <c r="G3892" i="5"/>
  <c r="G982" i="5"/>
  <c r="G424" i="5"/>
  <c r="G298" i="5"/>
  <c r="G965" i="5"/>
  <c r="G418" i="5"/>
  <c r="G4371" i="5"/>
  <c r="G4237" i="5"/>
  <c r="G4026" i="5"/>
  <c r="G4586" i="5"/>
  <c r="G3939" i="5"/>
  <c r="G3455" i="5"/>
  <c r="G2014" i="5"/>
  <c r="G4173" i="5"/>
  <c r="G4442" i="5"/>
  <c r="G3912" i="5"/>
  <c r="G2649" i="5"/>
  <c r="G3173" i="5"/>
  <c r="G1234" i="5"/>
  <c r="G332" i="5"/>
  <c r="G4577" i="5"/>
  <c r="G3162" i="5"/>
  <c r="G4191" i="5"/>
  <c r="G1965" i="5"/>
  <c r="G913" i="5"/>
  <c r="G260" i="5"/>
  <c r="G1097" i="5"/>
  <c r="G914" i="5"/>
  <c r="G4256" i="5"/>
  <c r="G1737" i="5"/>
  <c r="G1736" i="5"/>
  <c r="H2226" i="5"/>
  <c r="H2984" i="5"/>
  <c r="H2964" i="5"/>
  <c r="H4082" i="5"/>
  <c r="G4220" i="5"/>
  <c r="G3959" i="5"/>
  <c r="G3515" i="5"/>
  <c r="G1606" i="5"/>
  <c r="G259" i="5"/>
  <c r="G1082" i="5"/>
  <c r="G878" i="5"/>
  <c r="G328" i="5"/>
  <c r="G3236" i="5"/>
  <c r="G3866" i="5"/>
  <c r="G728" i="5"/>
  <c r="G4250" i="5"/>
  <c r="G3730" i="5"/>
  <c r="G3889" i="5"/>
  <c r="G390" i="5"/>
  <c r="G760" i="5"/>
  <c r="G810" i="5"/>
  <c r="G4372" i="5"/>
  <c r="G3771" i="5"/>
  <c r="G2730" i="5"/>
  <c r="G4168" i="5"/>
  <c r="G3749" i="5"/>
  <c r="G1226" i="5"/>
  <c r="G3929" i="5"/>
  <c r="G3695" i="5"/>
  <c r="G3169" i="5"/>
  <c r="G3429" i="5"/>
  <c r="G1227" i="5"/>
  <c r="G540" i="5"/>
  <c r="G2573" i="5"/>
  <c r="G769" i="5"/>
  <c r="G254" i="5"/>
  <c r="G865" i="5"/>
  <c r="G382" i="5"/>
  <c r="G4576" i="5"/>
  <c r="G4448" i="5"/>
  <c r="G3430" i="5"/>
  <c r="G426" i="5"/>
  <c r="G779" i="5"/>
  <c r="G308" i="5"/>
  <c r="G3791" i="5"/>
  <c r="G991" i="5"/>
  <c r="G550" i="5"/>
  <c r="G55" i="5"/>
  <c r="G4460" i="5"/>
  <c r="G3913" i="5"/>
  <c r="G3243" i="5"/>
  <c r="G3623" i="5"/>
  <c r="G2384" i="5"/>
  <c r="G4224" i="5"/>
  <c r="G3825" i="5"/>
  <c r="G3841" i="5"/>
  <c r="G1400" i="5"/>
  <c r="G3873" i="5"/>
  <c r="G357" i="5"/>
  <c r="G1028" i="5"/>
  <c r="G555" i="5"/>
  <c r="G278" i="5"/>
  <c r="G4201" i="5"/>
  <c r="G4241" i="5"/>
  <c r="G3317" i="5"/>
  <c r="G3340" i="5"/>
  <c r="G1584" i="5"/>
  <c r="G936" i="5"/>
  <c r="G3606" i="5"/>
  <c r="G2601" i="5"/>
  <c r="G3110" i="5"/>
  <c r="G2766" i="5"/>
  <c r="G1089" i="5"/>
  <c r="G388" i="5"/>
  <c r="G688" i="5"/>
  <c r="G796" i="5"/>
  <c r="G344" i="5"/>
  <c r="G1015" i="5"/>
  <c r="G409" i="5"/>
  <c r="G3450" i="5"/>
  <c r="G1670" i="5"/>
  <c r="G4424" i="5"/>
  <c r="G1714" i="5"/>
  <c r="G1205" i="5"/>
  <c r="G1675" i="5"/>
  <c r="G3076" i="5"/>
  <c r="G1324" i="5"/>
  <c r="G1319" i="5"/>
  <c r="H3065" i="5"/>
  <c r="G4365" i="5"/>
  <c r="G4329" i="5"/>
  <c r="G4160" i="5"/>
  <c r="G3742" i="5"/>
  <c r="G2633" i="5"/>
  <c r="G1220" i="5"/>
  <c r="G4436" i="5"/>
  <c r="G4387" i="5"/>
  <c r="G3690" i="5"/>
  <c r="G2315" i="5"/>
  <c r="G3038" i="5"/>
  <c r="G1080" i="5"/>
  <c r="G374" i="5"/>
  <c r="G1098" i="5"/>
  <c r="G566" i="5"/>
  <c r="G3518" i="5"/>
  <c r="G2140" i="5"/>
  <c r="G4443" i="5"/>
  <c r="G3421" i="5"/>
  <c r="G2000" i="5"/>
  <c r="G1282" i="5"/>
  <c r="G4305" i="5"/>
  <c r="G4416" i="5"/>
  <c r="G3872" i="5"/>
  <c r="G3163" i="5"/>
  <c r="G4197" i="5"/>
  <c r="G3790" i="5"/>
  <c r="G1275" i="5"/>
  <c r="G3958" i="5"/>
  <c r="G4192" i="5"/>
  <c r="G3756" i="5"/>
  <c r="G3215" i="5"/>
  <c r="G2238" i="5"/>
  <c r="G980" i="5"/>
  <c r="G295" i="5"/>
  <c r="G539" i="5"/>
  <c r="G739" i="5"/>
  <c r="G921" i="5"/>
  <c r="G389" i="5"/>
  <c r="G4491" i="5"/>
  <c r="G4578" i="5"/>
  <c r="G4154" i="5"/>
  <c r="G3903" i="5"/>
  <c r="G3229" i="5"/>
  <c r="G3799" i="5"/>
  <c r="G3201" i="5"/>
  <c r="G3775" i="5"/>
  <c r="G1314" i="5"/>
  <c r="G3271" i="5"/>
  <c r="G3581" i="5"/>
  <c r="G834" i="5"/>
  <c r="G345" i="5"/>
  <c r="G1014" i="5"/>
  <c r="G2565" i="5"/>
  <c r="G750" i="5"/>
  <c r="G72" i="5"/>
  <c r="G1619" i="5"/>
  <c r="G848" i="5"/>
  <c r="G3008" i="5"/>
  <c r="G2254" i="5"/>
  <c r="G1000" i="5"/>
  <c r="G1946" i="5"/>
  <c r="G2803" i="5"/>
  <c r="G598" i="5"/>
  <c r="G1665" i="5"/>
  <c r="G4144" i="5"/>
  <c r="G4246" i="5"/>
  <c r="G751" i="5"/>
  <c r="G2905" i="5"/>
  <c r="G3051" i="5"/>
  <c r="G2995" i="5"/>
  <c r="G1191" i="5"/>
  <c r="G1642" i="5"/>
  <c r="G2970" i="5"/>
  <c r="G4447" i="5"/>
  <c r="G4175" i="5"/>
  <c r="G3604" i="5"/>
  <c r="G4219" i="5"/>
  <c r="G4212" i="5"/>
  <c r="G3769" i="5"/>
  <c r="G3144" i="5"/>
  <c r="G3278" i="5"/>
  <c r="G3792" i="5"/>
  <c r="G1993" i="5"/>
  <c r="G794" i="5"/>
  <c r="G285" i="5"/>
  <c r="G945" i="5"/>
  <c r="G375" i="5"/>
  <c r="G4341" i="5"/>
  <c r="G3914" i="5"/>
  <c r="G3250" i="5"/>
  <c r="G4130" i="5"/>
  <c r="G3672" i="5"/>
  <c r="G1156" i="5"/>
  <c r="G4247" i="5"/>
  <c r="G4025" i="5"/>
  <c r="G3544" i="5"/>
  <c r="G2765" i="5"/>
  <c r="G2605" i="5"/>
  <c r="G384" i="5"/>
  <c r="G1986" i="5"/>
  <c r="G623" i="5"/>
  <c r="G3663" i="5"/>
  <c r="G792" i="5"/>
  <c r="G927" i="5"/>
  <c r="G405" i="5"/>
  <c r="G4213" i="5"/>
  <c r="G4260" i="5"/>
  <c r="G3965" i="5"/>
  <c r="G3359" i="5"/>
  <c r="G3911" i="5"/>
  <c r="G2609" i="5"/>
  <c r="G1206" i="5"/>
  <c r="G4068" i="5"/>
  <c r="G3800" i="5"/>
  <c r="G1440" i="5"/>
  <c r="G1571" i="5"/>
  <c r="G780" i="5"/>
  <c r="G981" i="5"/>
  <c r="G403" i="5"/>
  <c r="G1135" i="5"/>
  <c r="G1036" i="5"/>
  <c r="G515" i="5"/>
  <c r="G4480" i="5"/>
  <c r="G4439" i="5"/>
  <c r="G4102" i="5"/>
  <c r="G1071" i="5"/>
  <c r="G582" i="5"/>
  <c r="G4478" i="5"/>
  <c r="G4380" i="5"/>
  <c r="G4096" i="5"/>
  <c r="G3548" i="5"/>
  <c r="G4186" i="5"/>
  <c r="G3773" i="5"/>
  <c r="G3000" i="5"/>
  <c r="G1261" i="5"/>
  <c r="G4512" i="5"/>
  <c r="G4152" i="5"/>
  <c r="G3723" i="5"/>
  <c r="G2641" i="5"/>
  <c r="G3168" i="5"/>
  <c r="G3222" i="5"/>
  <c r="G1199" i="5"/>
  <c r="G996" i="5"/>
  <c r="G1192" i="5"/>
  <c r="G674" i="5"/>
  <c r="G4513" i="5"/>
  <c r="G4174" i="5"/>
  <c r="G3634" i="5"/>
  <c r="G3603" i="5"/>
  <c r="G1096" i="5"/>
  <c r="G4202" i="5"/>
  <c r="G4203" i="5"/>
  <c r="G3759" i="5"/>
  <c r="G3257" i="5"/>
  <c r="G3687" i="5"/>
  <c r="G1240" i="5"/>
  <c r="G2617" i="5"/>
  <c r="G631" i="5"/>
  <c r="G816" i="5"/>
  <c r="G331" i="5"/>
  <c r="G406" i="5"/>
  <c r="G1171" i="5"/>
  <c r="G641" i="5"/>
  <c r="G4334" i="5"/>
  <c r="G4104" i="5"/>
  <c r="G1150" i="5"/>
  <c r="G4222" i="5"/>
  <c r="G3549" i="5"/>
  <c r="G3582" i="5"/>
  <c r="G929" i="5"/>
  <c r="G3264" i="5"/>
  <c r="G759" i="5"/>
  <c r="G4149" i="5"/>
  <c r="G4101" i="5"/>
  <c r="G4046" i="5"/>
  <c r="G2215" i="5"/>
  <c r="G3890" i="5"/>
  <c r="G4612" i="5"/>
  <c r="G4567" i="5"/>
  <c r="G4214" i="5"/>
  <c r="G1312" i="5"/>
  <c r="G1050" i="5"/>
  <c r="G1958" i="5"/>
  <c r="G3467" i="5"/>
  <c r="G1725" i="5"/>
  <c r="H3085" i="5"/>
  <c r="H1890" i="5"/>
  <c r="H4495" i="5"/>
  <c r="G4004" i="5"/>
  <c r="G3420" i="5"/>
  <c r="G2745" i="5"/>
  <c r="G386" i="5"/>
  <c r="G2168" i="5"/>
  <c r="G3748" i="5"/>
  <c r="G795" i="5"/>
  <c r="G407" i="5"/>
  <c r="G4435" i="5"/>
  <c r="G4454" i="5"/>
  <c r="G4379" i="5"/>
  <c r="G4076" i="5"/>
  <c r="G4185" i="5"/>
  <c r="G2950" i="5"/>
  <c r="G1247" i="5"/>
  <c r="G4467" i="5"/>
  <c r="G3940" i="5"/>
  <c r="G3703" i="5"/>
  <c r="G3104" i="5"/>
  <c r="G3193" i="5"/>
  <c r="G3776" i="5"/>
  <c r="G1992" i="5"/>
  <c r="G593" i="5"/>
  <c r="G2863" i="5"/>
  <c r="G793" i="5"/>
  <c r="G373" i="5"/>
  <c r="G807" i="5"/>
  <c r="G324" i="5"/>
  <c r="G1108" i="5"/>
  <c r="G1788" i="5"/>
  <c r="G245" i="5"/>
  <c r="G4251" i="5"/>
  <c r="G1313" i="5"/>
  <c r="G4221" i="5"/>
  <c r="G4218" i="5"/>
  <c r="G3770" i="5"/>
  <c r="G3456" i="5"/>
  <c r="G699" i="5"/>
  <c r="H2849" i="5"/>
  <c r="H1692" i="5"/>
  <c r="H2780" i="5"/>
  <c r="H2775" i="5"/>
  <c r="H3812" i="5"/>
  <c r="E84" i="19" s="1"/>
  <c r="H2894" i="5"/>
  <c r="H3818" i="5"/>
  <c r="H3593" i="5" l="1"/>
  <c r="E73" i="19" s="1"/>
  <c r="H1330" i="5"/>
  <c r="H1324" i="5"/>
  <c r="H2192" i="5"/>
  <c r="H2200" i="5"/>
  <c r="H2785" i="5"/>
  <c r="H1902" i="5"/>
  <c r="H1908" i="5"/>
  <c r="H4352" i="5"/>
  <c r="H2934" i="5"/>
  <c r="H2184" i="5"/>
  <c r="H2914" i="5"/>
  <c r="H2827" i="5"/>
  <c r="H2792" i="5"/>
  <c r="G2066" i="5"/>
  <c r="H2919" i="5"/>
  <c r="G689" i="5"/>
  <c r="H4274" i="5"/>
  <c r="H2613" i="5"/>
  <c r="H3221" i="5"/>
  <c r="H4543" i="5"/>
  <c r="H3228" i="5"/>
  <c r="H3249" i="5"/>
  <c r="E64" i="19" s="1"/>
  <c r="H4282" i="5"/>
  <c r="H2929" i="5"/>
  <c r="H2939" i="5"/>
  <c r="H1764" i="5"/>
  <c r="E53" i="19" s="1"/>
  <c r="H3263" i="5"/>
  <c r="E65" i="19" s="1"/>
  <c r="H3534" i="5"/>
  <c r="H2770" i="5"/>
  <c r="H3235" i="5"/>
  <c r="E62" i="19" s="1"/>
  <c r="H858" i="5"/>
  <c r="H1835" i="5"/>
  <c r="H3277" i="5"/>
  <c r="E66" i="19" s="1"/>
  <c r="H4064" i="5"/>
  <c r="H4264" i="5"/>
  <c r="H2944" i="5"/>
  <c r="H250" i="5"/>
  <c r="E33" i="19" s="1"/>
  <c r="H4503" i="5"/>
  <c r="H746" i="5"/>
  <c r="H4551" i="5"/>
  <c r="H3994" i="5"/>
  <c r="H4320" i="5"/>
  <c r="H3270" i="5"/>
  <c r="H3502" i="5"/>
  <c r="H4159" i="5"/>
  <c r="E87" i="19" s="1"/>
  <c r="G1281" i="5"/>
  <c r="G2042" i="5"/>
  <c r="G581" i="5"/>
  <c r="G2090" i="5"/>
  <c r="G2058" i="5"/>
  <c r="G2074" i="5"/>
  <c r="H1757" i="5"/>
  <c r="H4042" i="5"/>
  <c r="H473" i="5"/>
  <c r="H3296" i="5"/>
  <c r="H4035" i="5"/>
  <c r="H1177" i="5"/>
  <c r="H328" i="5"/>
  <c r="H3256" i="5"/>
  <c r="H4053" i="5"/>
  <c r="H3729" i="5"/>
  <c r="H3242" i="5"/>
  <c r="E63" i="19" s="1"/>
  <c r="H608" i="5"/>
  <c r="H4228" i="5"/>
  <c r="H1605" i="5"/>
  <c r="H2862" i="5"/>
  <c r="H1992" i="5"/>
  <c r="F183" i="6"/>
  <c r="F63" i="6"/>
  <c r="F27" i="7"/>
  <c r="H1050" i="5"/>
  <c r="F71" i="6"/>
  <c r="H1261" i="5"/>
  <c r="F30" i="7"/>
  <c r="H1571" i="5"/>
  <c r="F188" i="6"/>
  <c r="G188" i="6" s="1"/>
  <c r="F98" i="6"/>
  <c r="F232" i="6"/>
  <c r="H2969" i="5"/>
  <c r="F314" i="6"/>
  <c r="H539" i="5"/>
  <c r="F144" i="6"/>
  <c r="F344" i="6"/>
  <c r="H2601" i="5"/>
  <c r="H3339" i="5"/>
  <c r="H1398" i="5"/>
  <c r="E46" i="19" s="1"/>
  <c r="F41" i="6"/>
  <c r="F64" i="6"/>
  <c r="H1226" i="5"/>
  <c r="F158" i="6"/>
  <c r="F35" i="6"/>
  <c r="F9" i="7"/>
  <c r="H698" i="5"/>
  <c r="H4237" i="5"/>
  <c r="F343" i="6"/>
  <c r="F331" i="6"/>
  <c r="G3081" i="5"/>
  <c r="G1034" i="5"/>
  <c r="G2955" i="5"/>
  <c r="G1119" i="5"/>
  <c r="G2818" i="5"/>
  <c r="G3784" i="5"/>
  <c r="G1936" i="5"/>
  <c r="G2823" i="5"/>
  <c r="G2910" i="5"/>
  <c r="H2886" i="5"/>
  <c r="H1064" i="5"/>
  <c r="H238" i="5"/>
  <c r="H2437" i="5"/>
  <c r="H1652" i="5"/>
  <c r="H3442" i="5"/>
  <c r="H4088" i="5"/>
  <c r="F170" i="6"/>
  <c r="H757" i="5"/>
  <c r="H2557" i="5"/>
  <c r="H3977" i="5"/>
  <c r="H3125" i="5"/>
  <c r="F88" i="6"/>
  <c r="H1623" i="5"/>
  <c r="H3806" i="5"/>
  <c r="E83" i="19" s="1"/>
  <c r="H725" i="5"/>
  <c r="F9" i="6"/>
  <c r="F260" i="6"/>
  <c r="H4001" i="5"/>
  <c r="F243" i="6"/>
  <c r="H4094" i="5"/>
  <c r="H1848" i="5"/>
  <c r="H2989" i="5"/>
  <c r="H1170" i="5"/>
  <c r="H2621" i="5"/>
  <c r="H3739" i="5"/>
  <c r="H1999" i="5"/>
  <c r="H3956" i="5"/>
  <c r="H3614" i="5"/>
  <c r="E75" i="19" s="1"/>
  <c r="H1005" i="5"/>
  <c r="H3907" i="5"/>
  <c r="F326" i="6"/>
  <c r="H3514" i="5"/>
  <c r="H1872" i="5"/>
  <c r="H4405" i="5"/>
  <c r="H3938" i="5"/>
  <c r="H71" i="5"/>
  <c r="E30" i="19" s="1"/>
  <c r="H4075" i="5"/>
  <c r="H4137" i="5"/>
  <c r="H4358" i="5"/>
  <c r="F246" i="6"/>
  <c r="G2082" i="5"/>
  <c r="G4013" i="5"/>
  <c r="G2352" i="5"/>
  <c r="G3833" i="5"/>
  <c r="G1715" i="5"/>
  <c r="G1724" i="5"/>
  <c r="G2813" i="5"/>
  <c r="G492" i="5"/>
  <c r="G3071" i="5"/>
  <c r="H2878" i="5"/>
  <c r="H4124" i="5"/>
  <c r="F213" i="6"/>
  <c r="F132" i="6"/>
  <c r="G132" i="6" s="1"/>
  <c r="H1646" i="5"/>
  <c r="H3920" i="5"/>
  <c r="H4300" i="5"/>
  <c r="F287" i="6"/>
  <c r="F280" i="6"/>
  <c r="G1806" i="5"/>
  <c r="H4218" i="5"/>
  <c r="E88" i="19" s="1"/>
  <c r="H3193" i="5"/>
  <c r="H3703" i="5"/>
  <c r="E81" i="19" s="1"/>
  <c r="H4610" i="5"/>
  <c r="H2213" i="5"/>
  <c r="F257" i="6"/>
  <c r="H1240" i="5"/>
  <c r="H1096" i="5"/>
  <c r="F218" i="6"/>
  <c r="F55" i="6"/>
  <c r="H2641" i="5"/>
  <c r="H3548" i="5"/>
  <c r="F317" i="6"/>
  <c r="H1071" i="5"/>
  <c r="F270" i="6"/>
  <c r="H1135" i="5"/>
  <c r="H2609" i="5"/>
  <c r="F171" i="6"/>
  <c r="H792" i="5"/>
  <c r="H2760" i="5"/>
  <c r="H3542" i="5"/>
  <c r="H3672" i="5"/>
  <c r="F332" i="6"/>
  <c r="H945" i="5"/>
  <c r="H4211" i="5"/>
  <c r="H1191" i="5"/>
  <c r="H3050" i="5"/>
  <c r="H4144" i="5"/>
  <c r="H598" i="5"/>
  <c r="H1945" i="5"/>
  <c r="H2252" i="5"/>
  <c r="H847" i="5"/>
  <c r="H2565" i="5"/>
  <c r="H3581" i="5"/>
  <c r="E71" i="19" s="1"/>
  <c r="F81" i="6"/>
  <c r="F247" i="6"/>
  <c r="H978" i="5"/>
  <c r="F288" i="6"/>
  <c r="H2633" i="5"/>
  <c r="H1674" i="5"/>
  <c r="H4424" i="5"/>
  <c r="H936" i="5"/>
  <c r="E44" i="19" s="1"/>
  <c r="F50" i="6"/>
  <c r="H278" i="5"/>
  <c r="E34" i="19" s="1"/>
  <c r="H2382" i="5"/>
  <c r="H989" i="5"/>
  <c r="F114" i="6"/>
  <c r="G114" i="6" s="1"/>
  <c r="H864" i="5"/>
  <c r="H3695" i="5"/>
  <c r="E79" i="19" s="1"/>
  <c r="H2729" i="5"/>
  <c r="H2649" i="5"/>
  <c r="H911" i="5"/>
  <c r="E43" i="19" s="1"/>
  <c r="H2569" i="5"/>
  <c r="H3885" i="5"/>
  <c r="H4255" i="5"/>
  <c r="F279" i="6"/>
  <c r="G1801" i="5"/>
  <c r="G21" i="5"/>
  <c r="G1184" i="5"/>
  <c r="F29" i="6"/>
  <c r="F8" i="7"/>
  <c r="F19" i="7"/>
  <c r="H3864" i="5"/>
  <c r="H2144" i="5"/>
  <c r="H3130" i="5"/>
  <c r="F138" i="6"/>
  <c r="G138" i="6" s="1"/>
  <c r="H54" i="5"/>
  <c r="H3114" i="5"/>
  <c r="H3352" i="5"/>
  <c r="E68" i="19" s="1"/>
  <c r="H506" i="5"/>
  <c r="F256" i="6"/>
  <c r="H852" i="5"/>
  <c r="H4575" i="5"/>
  <c r="H1106" i="5"/>
  <c r="H738" i="5"/>
  <c r="H1829" i="5"/>
  <c r="H1268" i="5"/>
  <c r="H242" i="5"/>
  <c r="H2013" i="5"/>
  <c r="H3947" i="5"/>
  <c r="H3576" i="5"/>
  <c r="H4486" i="5"/>
  <c r="G2925" i="5"/>
  <c r="G3779" i="5"/>
  <c r="G3417" i="5"/>
  <c r="G2026" i="5"/>
  <c r="G2960" i="5"/>
  <c r="F83" i="6"/>
  <c r="F241" i="6"/>
  <c r="F352" i="6"/>
  <c r="H2176" i="5"/>
  <c r="H4429" i="5"/>
  <c r="E89" i="19" s="1"/>
  <c r="H1163" i="5"/>
  <c r="H1302" i="5"/>
  <c r="H1380" i="5"/>
  <c r="H3840" i="5"/>
  <c r="E85" i="19" s="1"/>
  <c r="H3658" i="5"/>
  <c r="E78" i="19" s="1"/>
  <c r="H4529" i="5"/>
  <c r="F222" i="6"/>
  <c r="H322" i="5"/>
  <c r="H768" i="5"/>
  <c r="H533" i="5"/>
  <c r="H466" i="5"/>
  <c r="H4400" i="5"/>
  <c r="F99" i="6"/>
  <c r="F89" i="6"/>
  <c r="H2854" i="5"/>
  <c r="F162" i="6"/>
  <c r="F36" i="6"/>
  <c r="H3310" i="5"/>
  <c r="H4521" i="5"/>
  <c r="G1717" i="5"/>
  <c r="G1739" i="5"/>
  <c r="G1726" i="5"/>
  <c r="H2006" i="5"/>
  <c r="H4535" i="5"/>
  <c r="F51" i="6"/>
  <c r="H883" i="5"/>
  <c r="H869" i="5"/>
  <c r="H417" i="5"/>
  <c r="H3119" i="5"/>
  <c r="H3686" i="5"/>
  <c r="H4116" i="5"/>
  <c r="F156" i="6"/>
  <c r="H2617" i="5"/>
  <c r="F31" i="6"/>
  <c r="F289" i="6"/>
  <c r="H2999" i="5"/>
  <c r="F42" i="6"/>
  <c r="H403" i="5"/>
  <c r="F157" i="6"/>
  <c r="F313" i="6"/>
  <c r="H2904" i="5"/>
  <c r="H3007" i="5"/>
  <c r="F328" i="6"/>
  <c r="F32" i="6"/>
  <c r="F30" i="6"/>
  <c r="H1205" i="5"/>
  <c r="F255" i="6"/>
  <c r="F312" i="6"/>
  <c r="H382" i="5"/>
  <c r="F26" i="7"/>
  <c r="F8" i="6"/>
  <c r="F45" i="6"/>
  <c r="H1219" i="5"/>
  <c r="H234" i="5"/>
  <c r="F46" i="6"/>
  <c r="G2116" i="5"/>
  <c r="G2369" i="5"/>
  <c r="G3214" i="5"/>
  <c r="G2808" i="5"/>
  <c r="G1794" i="5"/>
  <c r="G1388" i="5"/>
  <c r="G487" i="5"/>
  <c r="G3721" i="5"/>
  <c r="G1868" i="5"/>
  <c r="G1351" i="5"/>
  <c r="H1010" i="5"/>
  <c r="H4100" i="5"/>
  <c r="H2388" i="5"/>
  <c r="H2356" i="5"/>
  <c r="F223" i="6"/>
  <c r="F200" i="6"/>
  <c r="H367" i="5"/>
  <c r="H920" i="5"/>
  <c r="F340" i="6"/>
  <c r="H2844" i="5"/>
  <c r="H2979" i="5"/>
  <c r="H3055" i="5"/>
  <c r="H3971" i="5"/>
  <c r="F318" i="6"/>
  <c r="F306" i="6"/>
  <c r="H1599" i="5"/>
  <c r="H2637" i="5"/>
  <c r="H4310" i="5"/>
  <c r="H3479" i="5"/>
  <c r="G3425" i="5"/>
  <c r="H3529" i="5"/>
  <c r="H2322" i="5"/>
  <c r="H1212" i="5"/>
  <c r="H1088" i="5"/>
  <c r="F227" i="6"/>
  <c r="F228" i="6"/>
  <c r="H265" i="5"/>
  <c r="F269" i="6"/>
  <c r="H957" i="5"/>
  <c r="F13" i="7"/>
  <c r="G13" i="7" s="1"/>
  <c r="H4596" i="5"/>
  <c r="H1198" i="5"/>
  <c r="H1564" i="5"/>
  <c r="E49" i="19" s="1"/>
  <c r="H2870" i="5"/>
  <c r="H1057" i="5"/>
  <c r="H2120" i="5"/>
  <c r="H3335" i="5"/>
  <c r="H3024" i="5"/>
  <c r="H666" i="5"/>
  <c r="H1254" i="5"/>
  <c r="F161" i="6"/>
  <c r="H4584" i="5"/>
  <c r="G1043" i="5"/>
  <c r="G3831" i="5"/>
  <c r="G1728" i="5"/>
  <c r="G1750" i="5"/>
  <c r="G1964" i="5"/>
  <c r="G2106" i="5"/>
  <c r="G3046" i="5"/>
  <c r="G2840" i="5"/>
  <c r="G1856" i="5"/>
  <c r="F173" i="6"/>
  <c r="H3383" i="5"/>
  <c r="G3209" i="5"/>
  <c r="G1233" i="5"/>
  <c r="F108" i="6"/>
  <c r="G108" i="6" s="1"/>
  <c r="H1247" i="5"/>
  <c r="H4378" i="5"/>
  <c r="H4435" i="5"/>
  <c r="H3748" i="5"/>
  <c r="H2168" i="5"/>
  <c r="H2744" i="5"/>
  <c r="H1956" i="5"/>
  <c r="H4567" i="5"/>
  <c r="H4149" i="5"/>
  <c r="H639" i="5"/>
  <c r="H816" i="5"/>
  <c r="H4478" i="5"/>
  <c r="H513" i="5"/>
  <c r="H617" i="5"/>
  <c r="H4068" i="5"/>
  <c r="H3911" i="5"/>
  <c r="H3965" i="5"/>
  <c r="H927" i="5"/>
  <c r="H2605" i="5"/>
  <c r="H1156" i="5"/>
  <c r="H4130" i="5"/>
  <c r="F359" i="6"/>
  <c r="G359" i="6" s="1"/>
  <c r="H285" i="5"/>
  <c r="E35" i="19" s="1"/>
  <c r="F54" i="6"/>
  <c r="H4447" i="5"/>
  <c r="H1640" i="5"/>
  <c r="H2994" i="5"/>
  <c r="H4246" i="5"/>
  <c r="H1664" i="5"/>
  <c r="H2802" i="5"/>
  <c r="H1000" i="5"/>
  <c r="H1618" i="5"/>
  <c r="H750" i="5"/>
  <c r="H834" i="5"/>
  <c r="H3903" i="5"/>
  <c r="H3096" i="5"/>
  <c r="F52" i="6"/>
  <c r="H2138" i="5"/>
  <c r="F298" i="6"/>
  <c r="H1080" i="5"/>
  <c r="H2315" i="5"/>
  <c r="H3075" i="5"/>
  <c r="H1669" i="5"/>
  <c r="H3108" i="5"/>
  <c r="H3317" i="5"/>
  <c r="F281" i="6"/>
  <c r="H2573" i="5"/>
  <c r="H3929" i="5"/>
  <c r="H2734" i="5"/>
  <c r="F341" i="6"/>
  <c r="H877" i="5"/>
  <c r="F150" i="6"/>
  <c r="F29" i="7"/>
  <c r="H3012" i="5"/>
  <c r="H4290" i="5"/>
  <c r="H2409" i="5"/>
  <c r="F261" i="6"/>
  <c r="G1773" i="5"/>
  <c r="G971" i="5"/>
  <c r="G1880" i="5"/>
  <c r="H3102" i="5"/>
  <c r="F194" i="6"/>
  <c r="G194" i="6" s="1"/>
  <c r="F23" i="6"/>
  <c r="F182" i="6"/>
  <c r="H1274" i="5"/>
  <c r="H2152" i="5"/>
  <c r="H2625" i="5"/>
  <c r="H4110" i="5"/>
  <c r="H4561" i="5"/>
  <c r="H230" i="5"/>
  <c r="H499" i="5"/>
  <c r="F84" i="6"/>
  <c r="H3181" i="5"/>
  <c r="F72" i="6"/>
  <c r="F229" i="6"/>
  <c r="F242" i="6"/>
  <c r="H1142" i="5"/>
  <c r="H2340" i="5"/>
  <c r="H732" i="5"/>
  <c r="H2160" i="5"/>
  <c r="F40" i="6"/>
  <c r="F299" i="6"/>
  <c r="F212" i="6"/>
  <c r="G1941" i="5"/>
  <c r="G3061" i="5"/>
  <c r="G1376" i="5"/>
  <c r="G1578" i="5"/>
  <c r="G1746" i="5"/>
  <c r="H1149" i="5"/>
  <c r="F233" i="6"/>
  <c r="F174" i="6"/>
  <c r="H1114" i="5"/>
  <c r="H1778" i="5"/>
  <c r="H2974" i="5"/>
  <c r="H1593" i="5"/>
  <c r="H3699" i="5"/>
  <c r="E80" i="19" s="1"/>
  <c r="H964" i="5"/>
  <c r="H1629" i="5"/>
  <c r="H2561" i="5"/>
  <c r="H4017" i="5"/>
  <c r="H456" i="5"/>
  <c r="E41" i="19" s="1"/>
  <c r="F126" i="6"/>
  <c r="G126" i="6" s="1"/>
  <c r="F258" i="6"/>
  <c r="F120" i="6"/>
  <c r="G120" i="6" s="1"/>
  <c r="F217" i="6"/>
  <c r="H820" i="5"/>
  <c r="G1708" i="5"/>
  <c r="H806" i="5"/>
  <c r="F327" i="6"/>
  <c r="H774" i="5"/>
  <c r="H841" i="5"/>
  <c r="H3187" i="5"/>
  <c r="H2629" i="5"/>
  <c r="H951" i="5"/>
  <c r="G19" i="7" l="1"/>
  <c r="G306" i="6"/>
  <c r="G150" i="6"/>
  <c r="G200" i="6"/>
  <c r="G23" i="6"/>
  <c r="G144" i="6"/>
  <c r="H2066" i="5"/>
  <c r="G2050" i="5"/>
  <c r="H581" i="5"/>
  <c r="H1281" i="5"/>
  <c r="H2074" i="5"/>
  <c r="H2042" i="5"/>
  <c r="H2058" i="5"/>
  <c r="H2090" i="5"/>
  <c r="G8" i="7"/>
  <c r="H4009" i="5"/>
  <c r="G2034" i="5"/>
  <c r="G571" i="5"/>
  <c r="G1288" i="5"/>
  <c r="G670" i="5"/>
  <c r="G40" i="6"/>
  <c r="G209" i="6"/>
  <c r="G182" i="6"/>
  <c r="H3783" i="5"/>
  <c r="H519" i="5"/>
  <c r="G217" i="6"/>
  <c r="H3209" i="5"/>
  <c r="H1854" i="5"/>
  <c r="H1043" i="5"/>
  <c r="H1349" i="5"/>
  <c r="H1386" i="5"/>
  <c r="G1749" i="5"/>
  <c r="G1787" i="5"/>
  <c r="G3524" i="5"/>
  <c r="G1825" i="5"/>
  <c r="G450" i="5"/>
  <c r="G29" i="6"/>
  <c r="G279" i="6"/>
  <c r="H491" i="5"/>
  <c r="H2822" i="5"/>
  <c r="H1119" i="5"/>
  <c r="H1034" i="5"/>
  <c r="H1374" i="5"/>
  <c r="E45" i="19" s="1"/>
  <c r="H3060" i="5"/>
  <c r="H1878" i="5"/>
  <c r="H1771" i="5"/>
  <c r="E54" i="19" s="1"/>
  <c r="G594" i="5"/>
  <c r="G1364" i="5"/>
  <c r="G1931" i="5"/>
  <c r="H2839" i="5"/>
  <c r="H2114" i="5"/>
  <c r="G1716" i="5"/>
  <c r="H2026" i="5"/>
  <c r="G3899" i="5"/>
  <c r="G1392" i="5"/>
  <c r="G1297" i="5"/>
  <c r="G1660" i="5"/>
  <c r="G1681" i="5"/>
  <c r="H2812" i="5"/>
  <c r="H3080" i="5"/>
  <c r="H1233" i="5"/>
  <c r="H2106" i="5"/>
  <c r="H1866" i="5"/>
  <c r="H485" i="5"/>
  <c r="H1792" i="5"/>
  <c r="H3214" i="5"/>
  <c r="G1707" i="5"/>
  <c r="G1727" i="5"/>
  <c r="G1370" i="5"/>
  <c r="G1423" i="5"/>
  <c r="G1614" i="5"/>
  <c r="H3768" i="5"/>
  <c r="H2959" i="5"/>
  <c r="H2924" i="5"/>
  <c r="H1184" i="5"/>
  <c r="H1799" i="5"/>
  <c r="G81" i="6"/>
  <c r="H3070" i="5"/>
  <c r="H2351" i="5"/>
  <c r="H2082" i="5"/>
  <c r="H2909" i="5"/>
  <c r="H1935" i="5"/>
  <c r="H2817" i="5"/>
  <c r="H2954" i="5"/>
  <c r="H1578" i="5"/>
  <c r="E50" i="19" s="1"/>
  <c r="H1940" i="5"/>
  <c r="H971" i="5"/>
  <c r="G2234" i="5"/>
  <c r="G2900" i="5"/>
  <c r="G1636" i="5"/>
  <c r="H3045" i="5"/>
  <c r="H1962" i="5"/>
  <c r="H2807" i="5"/>
  <c r="G1738" i="5"/>
  <c r="G3832" i="5"/>
  <c r="G222" i="6"/>
  <c r="H3417" i="5"/>
  <c r="H20" i="5"/>
  <c r="E8" i="19" s="1"/>
  <c r="G527" i="5"/>
  <c r="G2798" i="5"/>
  <c r="G1988" i="5"/>
  <c r="G1898" i="5"/>
  <c r="G1735" i="5"/>
  <c r="F90" i="7" l="1"/>
  <c r="H2050" i="5"/>
  <c r="G567" i="5"/>
  <c r="H1288" i="5"/>
  <c r="H2034" i="5"/>
  <c r="H670" i="5"/>
  <c r="H571" i="5"/>
  <c r="H1896" i="5"/>
  <c r="H2899" i="5"/>
  <c r="G1453" i="5"/>
  <c r="G1025" i="5"/>
  <c r="G2378" i="5"/>
  <c r="H1368" i="5"/>
  <c r="G627" i="5"/>
  <c r="G1483" i="5"/>
  <c r="G1971" i="5"/>
  <c r="H1658" i="5"/>
  <c r="H1392" i="5"/>
  <c r="H448" i="5"/>
  <c r="H3522" i="5"/>
  <c r="G1438" i="5"/>
  <c r="G907" i="5"/>
  <c r="G2328" i="5"/>
  <c r="G1687" i="5"/>
  <c r="G1886" i="5"/>
  <c r="H1929" i="5"/>
  <c r="H590" i="5"/>
  <c r="H1823" i="5"/>
  <c r="H1785" i="5"/>
  <c r="E55" i="19" s="1"/>
  <c r="G1979" i="5"/>
  <c r="G896" i="5"/>
  <c r="H526" i="5"/>
  <c r="G2222" i="5"/>
  <c r="G3205" i="5"/>
  <c r="G1613" i="5"/>
  <c r="G1713" i="5"/>
  <c r="G787" i="5"/>
  <c r="H1295" i="5"/>
  <c r="H1362" i="5"/>
  <c r="G1987" i="5"/>
  <c r="G2835" i="5"/>
  <c r="G2397" i="5"/>
  <c r="H2797" i="5"/>
  <c r="H1635" i="5"/>
  <c r="H2232" i="5"/>
  <c r="G1952" i="5"/>
  <c r="G3677" i="5"/>
  <c r="G2368" i="5"/>
  <c r="H1679" i="5"/>
  <c r="H3898" i="5"/>
  <c r="G1862" i="5"/>
  <c r="G3292" i="5"/>
  <c r="G1320" i="5"/>
  <c r="G3286" i="5"/>
  <c r="F118" i="7" l="1"/>
  <c r="F117" i="7"/>
  <c r="G527" i="6"/>
  <c r="F521" i="6"/>
  <c r="F104" i="7"/>
  <c r="F103" i="7"/>
  <c r="G5091" i="5"/>
  <c r="F89" i="7"/>
  <c r="G82" i="7" s="1"/>
  <c r="F53" i="7"/>
  <c r="F54" i="7"/>
  <c r="F67" i="7"/>
  <c r="F66" i="7"/>
  <c r="F32" i="7"/>
  <c r="F31" i="7"/>
  <c r="F479" i="6"/>
  <c r="F78" i="7"/>
  <c r="F445" i="6"/>
  <c r="G3608" i="5"/>
  <c r="G3607" i="5"/>
  <c r="F411" i="6"/>
  <c r="F391" i="6"/>
  <c r="G436" i="5"/>
  <c r="G1545" i="5"/>
  <c r="G1521" i="5"/>
  <c r="G1553" i="5"/>
  <c r="G1529" i="5"/>
  <c r="G348" i="5"/>
  <c r="G1560" i="5"/>
  <c r="G1513" i="5"/>
  <c r="G3164" i="5"/>
  <c r="H563" i="5"/>
  <c r="G3148" i="5"/>
  <c r="G1538" i="5"/>
  <c r="G1522" i="5"/>
  <c r="G1546" i="5"/>
  <c r="G3041" i="5"/>
  <c r="G3140" i="5"/>
  <c r="G1537" i="5"/>
  <c r="G1514" i="5"/>
  <c r="G1530" i="5"/>
  <c r="H1860" i="5"/>
  <c r="G1688" i="5"/>
  <c r="G1408" i="5"/>
  <c r="H3199" i="5"/>
  <c r="H1884" i="5"/>
  <c r="H2328" i="5"/>
  <c r="G1709" i="5"/>
  <c r="H2367" i="5"/>
  <c r="H1950" i="5"/>
  <c r="H1611" i="5"/>
  <c r="E51" i="19" s="1"/>
  <c r="H1976" i="5"/>
  <c r="H905" i="5"/>
  <c r="G1468" i="5"/>
  <c r="G1740" i="5"/>
  <c r="G1729" i="5"/>
  <c r="G897" i="5"/>
  <c r="G3494" i="5"/>
  <c r="G1498" i="5"/>
  <c r="H2220" i="5"/>
  <c r="G1718" i="5"/>
  <c r="G3834" i="5"/>
  <c r="G2834" i="5"/>
  <c r="H1969" i="5"/>
  <c r="H623" i="5"/>
  <c r="H2375" i="5"/>
  <c r="G3434" i="5"/>
  <c r="H3677" i="5"/>
  <c r="H2395" i="5"/>
  <c r="H1984" i="5"/>
  <c r="G2022" i="5"/>
  <c r="G3714" i="5"/>
  <c r="G1751" i="5"/>
  <c r="G788" i="5"/>
  <c r="H1024" i="5"/>
  <c r="G3033" i="5"/>
  <c r="G3459" i="5"/>
  <c r="G4604" i="5"/>
  <c r="G2579" i="5"/>
  <c r="G2595" i="5"/>
  <c r="G4178" i="5"/>
  <c r="G316" i="5"/>
  <c r="G3641" i="5"/>
  <c r="G3879" i="5"/>
  <c r="H1319" i="5"/>
  <c r="G3762" i="5"/>
  <c r="G292" i="5"/>
  <c r="G301" i="5"/>
  <c r="G307" i="5"/>
  <c r="G349" i="5"/>
  <c r="G4515" i="5"/>
  <c r="G3175" i="5"/>
  <c r="H3284" i="5"/>
  <c r="G4472" i="5"/>
  <c r="G361" i="5"/>
  <c r="G3628" i="5"/>
  <c r="H3290" i="5"/>
  <c r="G4205" i="5"/>
  <c r="G2587" i="5"/>
  <c r="F510" i="6" l="1"/>
  <c r="F602" i="6"/>
  <c r="G110" i="7"/>
  <c r="F601" i="6"/>
  <c r="F446" i="6"/>
  <c r="G440" i="6" s="1"/>
  <c r="F570" i="6"/>
  <c r="F571" i="6"/>
  <c r="F520" i="6"/>
  <c r="G516" i="6" s="1"/>
  <c r="F509" i="6"/>
  <c r="G96" i="7"/>
  <c r="H5088" i="5"/>
  <c r="E90" i="19" s="1"/>
  <c r="H11" i="19"/>
  <c r="I11" i="19" s="1"/>
  <c r="G48" i="7"/>
  <c r="F478" i="6"/>
  <c r="G471" i="6" s="1"/>
  <c r="G61" i="7"/>
  <c r="G26" i="7"/>
  <c r="G74" i="7"/>
  <c r="F461" i="6"/>
  <c r="F458" i="6"/>
  <c r="F462" i="6"/>
  <c r="F459" i="6"/>
  <c r="F463" i="6"/>
  <c r="F460" i="6"/>
  <c r="F457" i="6"/>
  <c r="F434" i="6"/>
  <c r="F410" i="6"/>
  <c r="G405" i="6" s="1"/>
  <c r="F433" i="6"/>
  <c r="F422" i="6"/>
  <c r="F423" i="6"/>
  <c r="F353" i="6"/>
  <c r="F354" i="6"/>
  <c r="F355" i="6"/>
  <c r="G366" i="6"/>
  <c r="H1550" i="5"/>
  <c r="H436" i="5"/>
  <c r="F72" i="19"/>
  <c r="F27" i="19"/>
  <c r="H1557" i="5"/>
  <c r="H3161" i="5"/>
  <c r="E60" i="19" s="1"/>
  <c r="H1518" i="5"/>
  <c r="H1542" i="5"/>
  <c r="H1510" i="5"/>
  <c r="H1526" i="5"/>
  <c r="E47" i="19" s="1"/>
  <c r="F302" i="6"/>
  <c r="G298" i="6" s="1"/>
  <c r="H3037" i="5"/>
  <c r="E56" i="19" s="1"/>
  <c r="H1534" i="5"/>
  <c r="E48" i="19" s="1"/>
  <c r="H3136" i="5"/>
  <c r="E57" i="19" s="1"/>
  <c r="H3144" i="5"/>
  <c r="E58" i="19" s="1"/>
  <c r="H1713" i="5"/>
  <c r="H1685" i="5"/>
  <c r="E52" i="19" s="1"/>
  <c r="H894" i="5"/>
  <c r="H785" i="5"/>
  <c r="G1315" i="5"/>
  <c r="H3032" i="5"/>
  <c r="H3713" i="5"/>
  <c r="H2832" i="5"/>
  <c r="H1724" i="5"/>
  <c r="H1735" i="5"/>
  <c r="G635" i="5"/>
  <c r="H1746" i="5"/>
  <c r="H2020" i="5"/>
  <c r="H3831" i="5"/>
  <c r="H1705" i="5"/>
  <c r="F345" i="6"/>
  <c r="F175" i="6"/>
  <c r="F12" i="6"/>
  <c r="F101" i="6"/>
  <c r="F346" i="6"/>
  <c r="F74" i="6"/>
  <c r="F272" i="6"/>
  <c r="F292" i="6"/>
  <c r="F75" i="6"/>
  <c r="F56" i="6"/>
  <c r="F176" i="6"/>
  <c r="F163" i="6"/>
  <c r="F164" i="6"/>
  <c r="F57" i="6"/>
  <c r="F11" i="6"/>
  <c r="F92" i="6"/>
  <c r="F263" i="6"/>
  <c r="F249" i="6"/>
  <c r="F334" i="6"/>
  <c r="F91" i="6"/>
  <c r="F102" i="6"/>
  <c r="F291" i="6"/>
  <c r="F248" i="6"/>
  <c r="F235" i="6"/>
  <c r="F273" i="6"/>
  <c r="F234" i="6"/>
  <c r="F319" i="6"/>
  <c r="F333" i="6"/>
  <c r="F320" i="6"/>
  <c r="F262" i="6"/>
  <c r="H3599" i="5"/>
  <c r="E74" i="19" s="1"/>
  <c r="H343" i="5"/>
  <c r="E37" i="19" s="1"/>
  <c r="H32" i="19" l="1"/>
  <c r="I32" i="19" s="1"/>
  <c r="F32" i="19"/>
  <c r="H29" i="19"/>
  <c r="I29" i="19" s="1"/>
  <c r="H27" i="19"/>
  <c r="I27" i="19" s="1"/>
  <c r="F29" i="19"/>
  <c r="H72" i="19"/>
  <c r="I72" i="19" s="1"/>
  <c r="G595" i="6"/>
  <c r="G504" i="6"/>
  <c r="G564" i="6"/>
  <c r="F541" i="6"/>
  <c r="G539" i="6" s="1"/>
  <c r="F11" i="19"/>
  <c r="F28" i="19"/>
  <c r="H28" i="19"/>
  <c r="I28" i="19" s="1"/>
  <c r="F9" i="19"/>
  <c r="H9" i="19"/>
  <c r="I9" i="19" s="1"/>
  <c r="G429" i="6"/>
  <c r="G417" i="6"/>
  <c r="G352" i="6"/>
  <c r="F33" i="19"/>
  <c r="F87" i="19"/>
  <c r="H71" i="19"/>
  <c r="I71" i="19" s="1"/>
  <c r="F89" i="19"/>
  <c r="F59" i="19"/>
  <c r="H1310" i="5"/>
  <c r="H631" i="5"/>
  <c r="G287" i="6"/>
  <c r="G88" i="6"/>
  <c r="G227" i="6"/>
  <c r="G71" i="6"/>
  <c r="G50" i="6"/>
  <c r="G269" i="6"/>
  <c r="G170" i="6"/>
  <c r="G255" i="6"/>
  <c r="G312" i="6"/>
  <c r="G326" i="6"/>
  <c r="G241" i="6"/>
  <c r="G8" i="6"/>
  <c r="G156" i="6"/>
  <c r="G98" i="6"/>
  <c r="G340" i="6"/>
  <c r="H84" i="19" l="1"/>
  <c r="I84" i="19" s="1"/>
  <c r="H87" i="19"/>
  <c r="I87" i="19" s="1"/>
  <c r="H33" i="19"/>
  <c r="I33" i="19" s="1"/>
  <c r="F84" i="19"/>
  <c r="F71" i="19"/>
  <c r="H59" i="19"/>
  <c r="I59" i="19" s="1"/>
  <c r="H89" i="19"/>
  <c r="I89" i="19" s="1"/>
  <c r="G6027" i="5"/>
  <c r="F535" i="6"/>
  <c r="G533" i="6" s="1"/>
  <c r="G6089" i="5"/>
  <c r="F7" i="19"/>
  <c r="F465" i="6"/>
  <c r="F374" i="6"/>
  <c r="G374" i="6" s="1"/>
  <c r="F68" i="19"/>
  <c r="F35" i="19"/>
  <c r="F78" i="19"/>
  <c r="F44" i="19"/>
  <c r="F34" i="19"/>
  <c r="F50" i="19"/>
  <c r="F79" i="19"/>
  <c r="F30" i="19"/>
  <c r="F49" i="19"/>
  <c r="H83" i="19" l="1"/>
  <c r="I83" i="19" s="1"/>
  <c r="H80" i="19"/>
  <c r="I80" i="19" s="1"/>
  <c r="H75" i="19"/>
  <c r="I75" i="19" s="1"/>
  <c r="H46" i="19"/>
  <c r="I46" i="19" s="1"/>
  <c r="H81" i="19"/>
  <c r="I81" i="19" s="1"/>
  <c r="H68" i="19"/>
  <c r="I68" i="19" s="1"/>
  <c r="H88" i="19"/>
  <c r="I88" i="19" s="1"/>
  <c r="F75" i="19"/>
  <c r="F80" i="19"/>
  <c r="H85" i="19"/>
  <c r="I85" i="19" s="1"/>
  <c r="H30" i="19"/>
  <c r="I30" i="19" s="1"/>
  <c r="F83" i="19"/>
  <c r="F46" i="19"/>
  <c r="H49" i="19"/>
  <c r="I49" i="19" s="1"/>
  <c r="H79" i="19"/>
  <c r="I79" i="19" s="1"/>
  <c r="H66" i="19"/>
  <c r="I66" i="19" s="1"/>
  <c r="H41" i="19"/>
  <c r="I41" i="19" s="1"/>
  <c r="H78" i="19"/>
  <c r="I78" i="19" s="1"/>
  <c r="H34" i="19"/>
  <c r="I34" i="19" s="1"/>
  <c r="F81" i="19"/>
  <c r="H62" i="19"/>
  <c r="I62" i="19" s="1"/>
  <c r="H73" i="19"/>
  <c r="I73" i="19" s="1"/>
  <c r="H50" i="19"/>
  <c r="I50" i="19" s="1"/>
  <c r="H44" i="19"/>
  <c r="I44" i="19" s="1"/>
  <c r="H35" i="19"/>
  <c r="I35" i="19" s="1"/>
  <c r="H64" i="19"/>
  <c r="I64" i="19" s="1"/>
  <c r="G6044" i="5"/>
  <c r="G6041" i="5"/>
  <c r="G6026" i="5"/>
  <c r="F560" i="6"/>
  <c r="G557" i="6" s="1"/>
  <c r="G6049" i="5"/>
  <c r="G6088" i="5"/>
  <c r="G5985" i="5"/>
  <c r="G5103" i="5"/>
  <c r="F498" i="6"/>
  <c r="G5266" i="5"/>
  <c r="F497" i="6"/>
  <c r="G5269" i="5"/>
  <c r="G5259" i="5"/>
  <c r="G5254" i="5"/>
  <c r="G5271" i="5"/>
  <c r="G5257" i="5"/>
  <c r="G5256" i="5"/>
  <c r="F66" i="19"/>
  <c r="H7" i="19"/>
  <c r="I7" i="19" s="1"/>
  <c r="F41" i="19"/>
  <c r="F85" i="19"/>
  <c r="G5101" i="5"/>
  <c r="H53" i="19"/>
  <c r="I53" i="19" s="1"/>
  <c r="F53" i="19"/>
  <c r="F62" i="19"/>
  <c r="F64" i="19"/>
  <c r="F63" i="19"/>
  <c r="H63" i="19"/>
  <c r="I63" i="19" s="1"/>
  <c r="F65" i="19"/>
  <c r="H65" i="19"/>
  <c r="I65" i="19" s="1"/>
  <c r="F73" i="19"/>
  <c r="F88" i="19"/>
  <c r="F43" i="19"/>
  <c r="H43" i="19"/>
  <c r="I43" i="19" s="1"/>
  <c r="H26" i="19"/>
  <c r="I26" i="19" s="1"/>
  <c r="F26" i="19"/>
  <c r="H10" i="19"/>
  <c r="G5124" i="5"/>
  <c r="F464" i="6"/>
  <c r="G452" i="6" s="1"/>
  <c r="G4345" i="5"/>
  <c r="G1807" i="5"/>
  <c r="G4514" i="5"/>
  <c r="G3878" i="5"/>
  <c r="G4177" i="5"/>
  <c r="G4204" i="5"/>
  <c r="G3761" i="5"/>
  <c r="G4471" i="5"/>
  <c r="G4603" i="5"/>
  <c r="G3627" i="5"/>
  <c r="G360" i="5"/>
  <c r="G2578" i="5"/>
  <c r="G2594" i="5"/>
  <c r="G2586" i="5"/>
  <c r="G3174" i="5"/>
  <c r="G3640" i="5"/>
  <c r="G315" i="5"/>
  <c r="G300" i="5"/>
  <c r="G5122" i="5"/>
  <c r="F380" i="6"/>
  <c r="G380" i="6" s="1"/>
  <c r="G3565" i="5"/>
  <c r="G397" i="5"/>
  <c r="G3460" i="5"/>
  <c r="G3652" i="5"/>
  <c r="G442" i="5"/>
  <c r="G3858" i="5"/>
  <c r="G3435" i="5"/>
  <c r="F54" i="19"/>
  <c r="G4027" i="5"/>
  <c r="G3472" i="5"/>
  <c r="G3400" i="5"/>
  <c r="G3557" i="5"/>
  <c r="G3411" i="5"/>
  <c r="G547" i="5"/>
  <c r="G3495" i="5"/>
  <c r="G3802" i="5"/>
  <c r="G3325" i="5"/>
  <c r="G557" i="5"/>
  <c r="G3720" i="5"/>
  <c r="G3801" i="5"/>
  <c r="G3510" i="5"/>
  <c r="F65" i="6"/>
  <c r="G1357" i="5"/>
  <c r="G3626" i="5"/>
  <c r="G4417" i="5"/>
  <c r="G4348" i="5"/>
  <c r="G274" i="5"/>
  <c r="G376" i="5"/>
  <c r="G4396" i="5"/>
  <c r="G2244" i="5"/>
  <c r="G3853" i="5"/>
  <c r="G430" i="5"/>
  <c r="G427" i="5"/>
  <c r="G694" i="5"/>
  <c r="G3367" i="5"/>
  <c r="G3668" i="5"/>
  <c r="G1344" i="5"/>
  <c r="G4412" i="5"/>
  <c r="G4388" i="5"/>
  <c r="G4333" i="5"/>
  <c r="G3360" i="5"/>
  <c r="H45" i="19" l="1"/>
  <c r="I45" i="19" s="1"/>
  <c r="F45" i="19"/>
  <c r="H54" i="19"/>
  <c r="I54" i="19" s="1"/>
  <c r="H5978" i="5"/>
  <c r="E126" i="19" s="1"/>
  <c r="H6020" i="5"/>
  <c r="E131" i="19" s="1"/>
  <c r="G6046" i="5"/>
  <c r="H6079" i="5"/>
  <c r="E136" i="19" s="1"/>
  <c r="G485" i="6"/>
  <c r="F10" i="19"/>
  <c r="I10" i="19"/>
  <c r="F8" i="19"/>
  <c r="H8" i="19"/>
  <c r="I8" i="19" s="1"/>
  <c r="H1806" i="5"/>
  <c r="H292" i="5"/>
  <c r="E36" i="19" s="1"/>
  <c r="H2585" i="5"/>
  <c r="H4184" i="5"/>
  <c r="H307" i="5"/>
  <c r="H2593" i="5"/>
  <c r="H4602" i="5"/>
  <c r="H4168" i="5"/>
  <c r="H3634" i="5"/>
  <c r="E77" i="19" s="1"/>
  <c r="H2577" i="5"/>
  <c r="H4459" i="5"/>
  <c r="H3872" i="5"/>
  <c r="E86" i="19" s="1"/>
  <c r="H3168" i="5"/>
  <c r="E61" i="19" s="1"/>
  <c r="H353" i="5"/>
  <c r="H3756" i="5"/>
  <c r="H4509" i="5"/>
  <c r="H4025" i="5"/>
  <c r="H5121" i="5"/>
  <c r="E92" i="19" s="1"/>
  <c r="F389" i="6"/>
  <c r="G386" i="6" s="1"/>
  <c r="H2238" i="5"/>
  <c r="H3425" i="5"/>
  <c r="H3561" i="5"/>
  <c r="E70" i="19" s="1"/>
  <c r="H396" i="5"/>
  <c r="E39" i="19" s="1"/>
  <c r="H3450" i="5"/>
  <c r="H3857" i="5"/>
  <c r="H3647" i="5"/>
  <c r="H442" i="5"/>
  <c r="E40" i="19" s="1"/>
  <c r="H3396" i="5"/>
  <c r="F55" i="19"/>
  <c r="H555" i="5"/>
  <c r="E42" i="19" s="1"/>
  <c r="H3324" i="5"/>
  <c r="E67" i="19" s="1"/>
  <c r="H3467" i="5"/>
  <c r="H547" i="5"/>
  <c r="H3555" i="5"/>
  <c r="E69" i="19" s="1"/>
  <c r="H3406" i="5"/>
  <c r="H3486" i="5"/>
  <c r="H3718" i="5"/>
  <c r="H3790" i="5"/>
  <c r="E82" i="19" s="1"/>
  <c r="H3508" i="5"/>
  <c r="G63" i="6"/>
  <c r="H3359" i="5"/>
  <c r="H4340" i="5"/>
  <c r="H2308" i="5"/>
  <c r="H4410" i="5"/>
  <c r="H3366" i="5"/>
  <c r="H688" i="5"/>
  <c r="H373" i="5"/>
  <c r="E38" i="19" s="1"/>
  <c r="H4416" i="5"/>
  <c r="H1342" i="5"/>
  <c r="H3662" i="5"/>
  <c r="H424" i="5"/>
  <c r="H1355" i="5"/>
  <c r="H4328" i="5"/>
  <c r="H4386" i="5"/>
  <c r="H3847" i="5"/>
  <c r="H4394" i="5"/>
  <c r="H270" i="5"/>
  <c r="H3622" i="5"/>
  <c r="E76" i="19" s="1"/>
  <c r="H55" i="19" l="1"/>
  <c r="I55" i="19" s="1"/>
  <c r="G6045" i="5"/>
  <c r="F90" i="19"/>
  <c r="H90" i="19"/>
  <c r="I90" i="19" s="1"/>
  <c r="F51" i="19"/>
  <c r="G1476" i="5"/>
  <c r="G1461" i="5"/>
  <c r="H51" i="19" l="1"/>
  <c r="I51" i="19" s="1"/>
  <c r="G6051" i="5"/>
  <c r="G6050" i="5"/>
  <c r="G5258" i="5"/>
  <c r="G5270" i="5"/>
  <c r="G5102" i="5"/>
  <c r="H1465" i="5"/>
  <c r="G1431" i="5"/>
  <c r="G1491" i="5"/>
  <c r="H1450" i="5"/>
  <c r="G1416" i="5"/>
  <c r="G1446" i="5"/>
  <c r="H6031" i="5" l="1"/>
  <c r="E132" i="19" s="1"/>
  <c r="H5253" i="5"/>
  <c r="E110" i="19" s="1"/>
  <c r="H5263" i="5"/>
  <c r="E111" i="19" s="1"/>
  <c r="F52" i="19"/>
  <c r="H52" i="19"/>
  <c r="I52" i="19" s="1"/>
  <c r="G5098" i="5"/>
  <c r="G5097" i="5"/>
  <c r="G1506" i="5"/>
  <c r="H1480" i="5"/>
  <c r="H1405" i="5"/>
  <c r="H1420" i="5"/>
  <c r="G3824" i="5"/>
  <c r="H1435" i="5"/>
  <c r="H5095" i="5" l="1"/>
  <c r="H3824" i="5"/>
  <c r="H1495" i="5"/>
  <c r="H131" i="19" l="1"/>
  <c r="I131" i="19" s="1"/>
  <c r="H126" i="19"/>
  <c r="I126" i="19" s="1"/>
  <c r="F131" i="19"/>
  <c r="F126" i="19"/>
  <c r="H136" i="19" l="1"/>
  <c r="I136" i="19" s="1"/>
  <c r="H92" i="19"/>
  <c r="I92" i="19" s="1"/>
  <c r="F136" i="19"/>
  <c r="F92" i="19"/>
  <c r="H110" i="19" l="1"/>
  <c r="I110" i="19" s="1"/>
  <c r="H111" i="19"/>
  <c r="I111" i="19" s="1"/>
  <c r="H132" i="19"/>
  <c r="I132" i="19" s="1"/>
  <c r="F132" i="19"/>
  <c r="F111" i="19"/>
  <c r="F110" i="19"/>
  <c r="F57" i="19" l="1"/>
  <c r="F67" i="19"/>
  <c r="F48" i="19"/>
  <c r="F58" i="19"/>
  <c r="H69" i="19" l="1"/>
  <c r="I69" i="19" s="1"/>
  <c r="H47" i="19"/>
  <c r="I47" i="19" s="1"/>
  <c r="H38" i="19"/>
  <c r="I38" i="19" s="1"/>
  <c r="H39" i="19"/>
  <c r="I39" i="19" s="1"/>
  <c r="F47" i="19"/>
  <c r="H48" i="19"/>
  <c r="I48" i="19" s="1"/>
  <c r="F38" i="19"/>
  <c r="H57" i="19"/>
  <c r="I57" i="19" s="1"/>
  <c r="H67" i="19"/>
  <c r="I67" i="19" s="1"/>
  <c r="F39" i="19"/>
  <c r="H58" i="19"/>
  <c r="I58" i="19" s="1"/>
  <c r="F69" i="19"/>
  <c r="F56" i="19"/>
  <c r="F70" i="19"/>
  <c r="F82" i="19"/>
  <c r="F42" i="19"/>
  <c r="F40" i="19"/>
  <c r="H60" i="19" l="1"/>
  <c r="I60" i="19" s="1"/>
  <c r="H37" i="19"/>
  <c r="I37" i="19" s="1"/>
  <c r="H42" i="19"/>
  <c r="I42" i="19" s="1"/>
  <c r="H70" i="19"/>
  <c r="I70" i="19" s="1"/>
  <c r="H56" i="19"/>
  <c r="I56" i="19" s="1"/>
  <c r="F37" i="19"/>
  <c r="H82" i="19"/>
  <c r="I82" i="19" s="1"/>
  <c r="H40" i="19"/>
  <c r="I40" i="19" s="1"/>
  <c r="F60" i="19"/>
  <c r="F74" i="19" l="1"/>
  <c r="F76" i="19"/>
  <c r="F36" i="19"/>
  <c r="H77" i="19" l="1"/>
  <c r="I77" i="19" s="1"/>
  <c r="H76" i="19"/>
  <c r="I76" i="19" s="1"/>
  <c r="H36" i="19"/>
  <c r="I36" i="19" s="1"/>
  <c r="H74" i="19"/>
  <c r="I74" i="19" s="1"/>
  <c r="F77" i="19"/>
  <c r="H86" i="19" l="1"/>
  <c r="I86" i="19" s="1"/>
  <c r="H61" i="19"/>
  <c r="I61" i="19" s="1"/>
  <c r="F86" i="19"/>
  <c r="F61" i="19"/>
  <c r="G2128" i="5" l="1"/>
  <c r="G2134" i="5"/>
  <c r="H2132" i="5" l="1"/>
  <c r="H2126" i="5"/>
  <c r="I144" i="19" l="1"/>
  <c r="I143" i="19"/>
</calcChain>
</file>

<file path=xl/sharedStrings.xml><?xml version="1.0" encoding="utf-8"?>
<sst xmlns="http://schemas.openxmlformats.org/spreadsheetml/2006/main" count="12545" uniqueCount="2423">
  <si>
    <t>COMPOSIÇÕES DE CUSTO UNITÁRIO</t>
  </si>
  <si>
    <t>ITEM</t>
  </si>
  <si>
    <t>DESCRIÇÃO</t>
  </si>
  <si>
    <t>DISCRIMINAÇÃO DA COMPOSIÇÃO</t>
  </si>
  <si>
    <t>UNIDADE</t>
  </si>
  <si>
    <t>COEFICIENTE</t>
  </si>
  <si>
    <t>CUSTO UNITÁRIO</t>
  </si>
  <si>
    <t>CUSTO TOTAL</t>
  </si>
  <si>
    <t>TOTAL DO SERVIÇO</t>
  </si>
  <si>
    <t>QTD</t>
  </si>
  <si>
    <t>SF-00001</t>
  </si>
  <si>
    <t>Engenheiro civil de obra junior com encargos complementares</t>
  </si>
  <si>
    <t>h</t>
  </si>
  <si>
    <t>SF-00002</t>
  </si>
  <si>
    <t>Mestre de obras com encargos complementares</t>
  </si>
  <si>
    <t>SF-00003</t>
  </si>
  <si>
    <t>Engenheiro Civil de Obra Pleno com encargos complementares</t>
  </si>
  <si>
    <t>SF-00004</t>
  </si>
  <si>
    <t>Engenheiro Civil Pleno com encargos complementares</t>
  </si>
  <si>
    <t>Anotação de Responsabilidade Técnica</t>
  </si>
  <si>
    <t>un</t>
  </si>
  <si>
    <t>SF-00005</t>
  </si>
  <si>
    <t>Pedreiro com Encargos Complementares</t>
  </si>
  <si>
    <t>Servente com Encargos Complementares</t>
  </si>
  <si>
    <t>SF-00006</t>
  </si>
  <si>
    <t>SF-00007</t>
  </si>
  <si>
    <t>SF-00008</t>
  </si>
  <si>
    <t>Montador de estrutura metálica com encargos complementares</t>
  </si>
  <si>
    <t>SF-00009</t>
  </si>
  <si>
    <t>SF-00010</t>
  </si>
  <si>
    <t>Eletricista com encargos complementares</t>
  </si>
  <si>
    <t>SF-00011</t>
  </si>
  <si>
    <t>Martelete ou rompedor pneumático manual, 28 kg, com silenciador - CHP diurno. AF_07/2016</t>
  </si>
  <si>
    <t>chp</t>
  </si>
  <si>
    <t>Martelete ou rompedor pneumático manual, 28 kg, com silenciador - CHI diurno. AF_07/2016</t>
  </si>
  <si>
    <t>chi</t>
  </si>
  <si>
    <t>Azulejista ou ladrilhista com encargos complementares</t>
  </si>
  <si>
    <t>SF-00012</t>
  </si>
  <si>
    <t>SF-00013</t>
  </si>
  <si>
    <t>Encanador ou Bombeiro Hidráulico com Encargos Complementares</t>
  </si>
  <si>
    <t>SF-00014</t>
  </si>
  <si>
    <t>CABO DE ACO GALVANIZADO, DIAMETRO 9,53 MM (3/8"), COM ALMA DE FIBRA 6 X 25 F</t>
  </si>
  <si>
    <t>kg</t>
  </si>
  <si>
    <t>SF-00016</t>
  </si>
  <si>
    <t>Carpinteiro de esquadria com encargos complementares</t>
  </si>
  <si>
    <t>SF-00017</t>
  </si>
  <si>
    <t>SF-00018</t>
  </si>
  <si>
    <t>SF-00019</t>
  </si>
  <si>
    <t>SF-00020</t>
  </si>
  <si>
    <t>SF-00021</t>
  </si>
  <si>
    <t>Ajudante especializado com encargos complementares</t>
  </si>
  <si>
    <t>SF-00022</t>
  </si>
  <si>
    <t>Ajudante de operação em geral com encargos complementares</t>
  </si>
  <si>
    <t>SF-00023</t>
  </si>
  <si>
    <t>Marmorista/graniteiro com encargos complementares</t>
  </si>
  <si>
    <t>SF-00024</t>
  </si>
  <si>
    <t>SF-00025</t>
  </si>
  <si>
    <t>SF-00026</t>
  </si>
  <si>
    <t>SF-00027</t>
  </si>
  <si>
    <t>SF-00028</t>
  </si>
  <si>
    <t>SF-00029</t>
  </si>
  <si>
    <t>SF-00030</t>
  </si>
  <si>
    <t>SF-00031</t>
  </si>
  <si>
    <t>SF-00032</t>
  </si>
  <si>
    <r>
      <t xml:space="preserve">Obs.: Remoção </t>
    </r>
    <r>
      <rPr>
        <b/>
        <u/>
        <sz val="10"/>
        <rFont val="Arial"/>
        <family val="2"/>
      </rPr>
      <t>com</t>
    </r>
    <r>
      <rPr>
        <b/>
        <sz val="10"/>
        <rFont val="Arial"/>
        <family val="2"/>
      </rPr>
      <t xml:space="preserve"> reaproveitamento</t>
    </r>
  </si>
  <si>
    <t>SF-00033</t>
  </si>
  <si>
    <t>SF-00034</t>
  </si>
  <si>
    <t>SF-00035</t>
  </si>
  <si>
    <t>Vidraceiro com encargos complementares</t>
  </si>
  <si>
    <t>SF-00036</t>
  </si>
  <si>
    <t>SF-00037</t>
  </si>
  <si>
    <t>SF-00038</t>
  </si>
  <si>
    <r>
      <t xml:space="preserve">Obs.: remoção </t>
    </r>
    <r>
      <rPr>
        <b/>
        <u/>
        <sz val="10"/>
        <rFont val="Arial"/>
        <family val="2"/>
      </rPr>
      <t>com</t>
    </r>
    <r>
      <rPr>
        <b/>
        <sz val="10"/>
        <rFont val="Arial"/>
        <family val="2"/>
      </rPr>
      <t xml:space="preserve"> reaproveitamento</t>
    </r>
  </si>
  <si>
    <t>SF-00039</t>
  </si>
  <si>
    <t>Auxiliar de eletricista com encargos complementares</t>
  </si>
  <si>
    <t>SF-00040</t>
  </si>
  <si>
    <t>SF-00041</t>
  </si>
  <si>
    <t>SF-00042</t>
  </si>
  <si>
    <t>Carpinteiro de formas com encargos complementares</t>
  </si>
  <si>
    <t>SF-00043</t>
  </si>
  <si>
    <t>SF-00044</t>
  </si>
  <si>
    <t>Montador eletromecãnico com encargos complementares</t>
  </si>
  <si>
    <t>SF-00045</t>
  </si>
  <si>
    <t>SF-00046</t>
  </si>
  <si>
    <t>SF-00048</t>
  </si>
  <si>
    <t>LOCACAO DE ANDAIME METALICO TIPO FACHADEIRO, LARGURA DE 1,20 M, ALTURA POR PECA DE 2,0 M, INCLUINDO SAPATAS E ITENS NECESSARIOS A INSTALACAO</t>
  </si>
  <si>
    <t>M2XMES</t>
  </si>
  <si>
    <t>SF-00049</t>
  </si>
  <si>
    <t>MXMES</t>
  </si>
  <si>
    <t>SF-00051</t>
  </si>
  <si>
    <t>CORDA DE POLIAMIDA 12 MM TIPO BOMBEIRO, PARA TRABALHO EM ALTURA</t>
  </si>
  <si>
    <t>100m</t>
  </si>
  <si>
    <t>SF-00057</t>
  </si>
  <si>
    <t>m</t>
  </si>
  <si>
    <t>Prego de aco polido com cabeca 18 x 27 (2 1/2 x 10)</t>
  </si>
  <si>
    <t>m2</t>
  </si>
  <si>
    <t>SF-00070</t>
  </si>
  <si>
    <t>Chapa de madeira compensada resinada 1,10 x 2,20 m # 6 mm</t>
  </si>
  <si>
    <t>TABUA DE MADEIRA NAO APARELHADA *2,5 X 30* CM, CEDRINHO OU EQUIVALENTE DA REGIAO</t>
  </si>
  <si>
    <t>PREGO DE ACO POLIDO COM CABECA 18 X 30 (2 3/4 X 10)</t>
  </si>
  <si>
    <t>Ajudante de pintor com encargos complementares</t>
  </si>
  <si>
    <t>Pintor com encargos complementares</t>
  </si>
  <si>
    <t>Oleo de linhaca</t>
  </si>
  <si>
    <t>L</t>
  </si>
  <si>
    <t>Cal hidratada para pintura</t>
  </si>
  <si>
    <t>Pigmento em po para argamassas, cimentos e outros</t>
  </si>
  <si>
    <t>SF-00073</t>
  </si>
  <si>
    <t>SF-00074</t>
  </si>
  <si>
    <t>Auxiliar de encanador ou bombeiro hidráulico com encargos complementares</t>
  </si>
  <si>
    <t>ARGAMASSA TRAÇO 1:3 (EM VOLUME DE CIMENTO E AREIA MÉDIA ÚMIDA), PREPARO MANUAL. AF_08/2019</t>
  </si>
  <si>
    <t>m3</t>
  </si>
  <si>
    <t>SF-00075</t>
  </si>
  <si>
    <t>SF-00076</t>
  </si>
  <si>
    <t>SF-00077</t>
  </si>
  <si>
    <t>LANÇAMENTO COM USO DE BALDES, ADENSAMENTO E ACABAMENTO DE CONCRETO EM ESTRUTURAS. AF_12/2015</t>
  </si>
  <si>
    <t>Areia media - posto jazida/fornecedor (retirado na jazida, sem transporte)</t>
  </si>
  <si>
    <t>Cimento Portland composto CP II-32</t>
  </si>
  <si>
    <t>Pedra britada n. 1 (9,5 a 19 mm) posto pedreira/fornecedor, sem frete</t>
  </si>
  <si>
    <t>Operador de betoneira estacionária/misturador com encargos complementares</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</si>
  <si>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</si>
  <si>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</si>
  <si>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CARGA, MANOBRAS E DESCARGA DE AREIA, BRITA, PEDRA DE MAO E SOLOS COM CAMINHAO BASCULANTE 6 M3 (DESCARGA LIVRE)</t>
  </si>
  <si>
    <t>M3</t>
  </si>
  <si>
    <t>TRANSPORTE COM CAMINHÃO BASCULANTE DE 6 M3, EM VIA URBANA PAVIMENTADA, DMT ATÉ 30 KM (UNIDADE: M3xKM). AF_01/2018</t>
  </si>
  <si>
    <t>M3xKM</t>
  </si>
  <si>
    <t>Obs.: Considerando fornecedor de areia e brita a 20 km do Senado Federal.</t>
  </si>
  <si>
    <t>SF-00078</t>
  </si>
  <si>
    <t>SF-00079</t>
  </si>
  <si>
    <t>LOCACAO DE ESCORA METALICA TELESCOPICA, COM ALTURA REGULAVEL DE *1,80* A *3,20*M, COM CAPACIDADE DE CARGA DE NO MINIMO 1000 KGF (10 KN), INCLUSO TRIPE E FORCADO</t>
  </si>
  <si>
    <t>MES</t>
  </si>
  <si>
    <t>Ajudante de carpinteiro com encargos complementares</t>
  </si>
  <si>
    <t>SF-00080</t>
  </si>
  <si>
    <t>ACETILENO (RECARGA PARA CILINDRO DE CONJUNTO OXICORTE GRANDE)</t>
  </si>
  <si>
    <t>CANTONEIRA ACO ABAS IGUAIS (QUALQUER BITOLA), ESPESSURA ENTRE 1/8" E 1/4"</t>
  </si>
  <si>
    <t>Chapa de aco USI-SAC 350, de (2,44x6)m, com espessura de 1/2"</t>
  </si>
  <si>
    <t>ELETRODO REVESTIDO AWS - E7018, DIAMETRO IGUAL A 4,00 MM</t>
  </si>
  <si>
    <t>OXIGENIO, RECARGA PARA CILINDRO DE CONJUNTO OXICORTE GRANDE</t>
  </si>
  <si>
    <t>Perfil "H" de aco carbono, padrao americano, de (6"x6")</t>
  </si>
  <si>
    <t>Perda em perfil de aco carbono tipo "H", de 6"x6" - 5% - equivalente ao elementar MAT095450</t>
  </si>
  <si>
    <t>Repintura interna ou externa sobre ferro, inclusive lixamento, limpeza, demao de tinta anti oxido Ferroloide ou equivalente e outra de tinta alquidica esmaltada Condor ou equivalente.</t>
  </si>
  <si>
    <t>Retificador de solda, eletrico, de 430A. Custo horario corrido.</t>
  </si>
  <si>
    <t>Talha Guincho manual de 10Kg, sem operador, com as seguintes especificacoes minimas: capacidade de icamento de 1500Kg e de tracao de 1800Kg, cabo de aco com curso ilimitado, alavanca, gancho e carretel. Custo horario corrido.</t>
  </si>
  <si>
    <t>SF-00081</t>
  </si>
  <si>
    <t>SF-00082</t>
  </si>
  <si>
    <t>Pedreiro Com Encargos Complementares</t>
  </si>
  <si>
    <t>Pedra britada n. 2 (19 a 38 mm) posto pedreira/fornecedor, sem frete</t>
  </si>
  <si>
    <t>Bloco de concreto tipo canaleta 11,5 x 19 x 39 cm</t>
  </si>
  <si>
    <t xml:space="preserve">un </t>
  </si>
  <si>
    <t>Aco CA-50, 10,0 mm, vergalhao</t>
  </si>
  <si>
    <t>SF-00083</t>
  </si>
  <si>
    <t>Argamassa polimerica impermeabilizante semiflexivel, bicomponente (membrana impermeabilizante acrilica)</t>
  </si>
  <si>
    <t>Impermeabilizador com encargos complementares</t>
  </si>
  <si>
    <t>SF-00084</t>
  </si>
  <si>
    <t>mil</t>
  </si>
  <si>
    <t>Tela de aco soldada galvanizada/zincada para alvenaria, fio D = *1,20 a 1,70* mm, malha 15 x 15 mm, (C x L) *50 x 7,5* cm</t>
  </si>
  <si>
    <t>Pino de aco com furo, haste = 27 mm (acao direta)</t>
  </si>
  <si>
    <t>cento</t>
  </si>
  <si>
    <t>ARGAMASSA TRAÇO 1:2:8 (EM VOLUME DE CIMENTO, CAL E AREIA MÉDIA ÚMIDA) PARA EMBOÇO/MASSA ÚNICA/ASSENTAMENTO DE ALVENARIA DE VEDAÇÃO, PREPARO MECÂNICO COM BETONEIRA 400 L. AF_08/2019</t>
  </si>
  <si>
    <t>SF-00085</t>
  </si>
  <si>
    <t>Pino de aco com arruela conica, diametro arruela = *23* mm e Comp haste = *27* mm (acao indireta)</t>
  </si>
  <si>
    <t>Perfil guia, formato U, em aco zincado, para estrutura parede drywall, E = 0,5 mm, 70 x 3000 mm (L x C)</t>
  </si>
  <si>
    <t>Perfil montante, formato C, em aco zincado, para estrutura parede drywall, E = 0,5 mm, 70 x 3000 mm (L x C)</t>
  </si>
  <si>
    <t>Fita de papel microperfurado, 50 x 150 mm, para tratamento de juntas de chapa de gesso para drywall</t>
  </si>
  <si>
    <t>Fita de papel reforcada com lamina de metal para reforco de cantos de chapa de gesso para drywall</t>
  </si>
  <si>
    <t>Parafuso dry wall, em aco fosfatizado, cabeca trombeta e ponta agulha (TA), comprimento 25 mm</t>
  </si>
  <si>
    <t>Parafuso dry wall, em aco zincado, cabeca lentilha e ponta broca (LB), largura 4,2 mm, comprimento 13 mm</t>
  </si>
  <si>
    <t>SF-00086</t>
  </si>
  <si>
    <t>ARGAMASSA TRAÇO 1:2:9 (EM VOLUME DE CIMENTO, CAL E AREIA MÉDIA ÚMIDA) PARA EMBOÇO/MASSA ÚNICA/ASSENTAMENTO DE ALVENARIA DE VEDAÇÃO, PREPARO MECÂNICO COM BETONEIRA 600 L. AF_08/2019</t>
  </si>
  <si>
    <t>SF-00087</t>
  </si>
  <si>
    <t>Pino De Aco Com Arruela Conica, Diametro Arruela = *23* Mm E Comp Haste = *27* Mm (Acao Indireta)</t>
  </si>
  <si>
    <t>Perfil Guia, Formato U, Em Aco Zincado, Para Estrutura Parede Drywall, E = 0,5 Mm, 70 X 3000 Mm (L X C)</t>
  </si>
  <si>
    <t>Perfil Montante, Formato C, Em Aco Zincado, Para Estrutura Parede Drywall, E = 0,5 Mm, 70 X 3000 Mm (L X C)</t>
  </si>
  <si>
    <t>Fita De Papel Microperfurado, 50 X 150 Mm, Para Tratamento De Juntas De Chapa De Gesso Para Drywall</t>
  </si>
  <si>
    <t>Fita De Papel Reforcada Com Lamina De Metal Para Reforco De Cantos De Chapa De Gesso Para Drywall</t>
  </si>
  <si>
    <t>Parafuso Dry Wall, Em Aco Fosfatizado, Cabeca Trombeta E Ponta Agulha (Ta), Comprimento 25 Mm</t>
  </si>
  <si>
    <t>Parafuso Dry Wall, Em Aco Zincado, Cabeca Lentilha E Ponta Broca (Lb), Largura 4,2 Mm, Comprimento 13 Mm</t>
  </si>
  <si>
    <t>SF-00088</t>
  </si>
  <si>
    <t>SF-00089</t>
  </si>
  <si>
    <t>Bloco ceramico de vedacao com furos na vertical, 9 x 19 x 39 cm - 4,5 MPa (NBR 15270)</t>
  </si>
  <si>
    <t>SF-00090</t>
  </si>
  <si>
    <t>ARGAMASSA INDUSTRIALIZADA PARA CHAPISCO COLANTE, PREPARO COM MISTURADOR DE EIXO HORIZONTAL DE 300 KG. AF_08/2019</t>
  </si>
  <si>
    <t>SF-00091</t>
  </si>
  <si>
    <t>ARGAMASSA TRAÇO 1:3 (EM VOLUME DE CIMENTO E AREIA GROSSA ÚMIDA) PARA CHAPISCO CONVENCIONAL, PREPARO MANUAL. AF_08/2019</t>
  </si>
  <si>
    <t>SF-00092</t>
  </si>
  <si>
    <t>Gesseiro com encargos complementares</t>
  </si>
  <si>
    <t>Gesso cola</t>
  </si>
  <si>
    <t>Obs.: Fonte para o coeficiente do gesso (0,75 kg/m2) : http://www.gessotrevo.com.br/gesso_cola.php - acesso em 16/08/18</t>
  </si>
  <si>
    <t>SF-00093</t>
  </si>
  <si>
    <t>Argamassa industrializada multiuso, para revestimento interno e externo e assentamento de blocos diversos</t>
  </si>
  <si>
    <t>Obs.: Rendimento de argamassa obtido como referência no SINAPI e no link abaixo. Extrato: "Revestimento: Em média 17,0 a 19,5 Kg/m2  para cada 1,0 cm de espessura, variando em função da aplicação".</t>
  </si>
  <si>
    <t>https://s3.amazonaws.com/mapa-da-obra-producao/wp-content/uploads/2015/12/2101-matrix-revestimento-interno.pdf</t>
  </si>
  <si>
    <t>SF-00094</t>
  </si>
  <si>
    <t>SF-00095</t>
  </si>
  <si>
    <t>Tela de poliéster adesiva largura 150mm e reforço central de 50mm</t>
  </si>
  <si>
    <t>RESINA ACRILICA BASE AGUA - COR BRANCA</t>
  </si>
  <si>
    <t>SELANTE A BASE DE RESINAS ACRILICAS PARA TRINCAS</t>
  </si>
  <si>
    <t>Obs.: Rendimento da resina e do selante de acordo com recomendações do fabricante (Bautech). Consumo médio. Selante: 5 m por kg. Resina: 165 m2 por embalagem de 18 L.</t>
  </si>
  <si>
    <t>http://www.bautechbrasil.com.br/produtos/selantes-especiais/bautech-selante-acr%C3%ADlico</t>
  </si>
  <si>
    <t>http://www.bautechbrasil.com.br/produtos/pinturas-especiais-e-complementos/bautech-resina-acr%C3%ADlica-multiuso</t>
  </si>
  <si>
    <t>SF-00096</t>
  </si>
  <si>
    <t>Fundo selador a base d'água</t>
  </si>
  <si>
    <t>SF-00097</t>
  </si>
  <si>
    <t>Fundo anticorrosivo e de aderência a base de água</t>
  </si>
  <si>
    <t xml:space="preserve">Obs.: Rendimento do fundo obtido de acordo com recomendação do fabricante. Consumo médio. </t>
  </si>
  <si>
    <t>https://www.sherwin-williams.com.br/produto-detalhe/metalatex-eco-complementos</t>
  </si>
  <si>
    <t>https://www.suvinil.com.br/upload/78d22676-91b1-4086-99ad-4258fadd7b08-suvinil-fundo-seca-rapidomaio2018.pdf</t>
  </si>
  <si>
    <t>SF-00098</t>
  </si>
  <si>
    <t>Lixa em folha para parede ou madeira, numero 120 (cor vermelha)</t>
  </si>
  <si>
    <t>Massa acrilica para paredes interior/exterior</t>
  </si>
  <si>
    <t>gl</t>
  </si>
  <si>
    <t>SF-00099</t>
  </si>
  <si>
    <t>SF-00100</t>
  </si>
  <si>
    <t>Tinta acrilica premium, cor branco fosco</t>
  </si>
  <si>
    <t>SF-00101</t>
  </si>
  <si>
    <t>Verniz a base de água para madeira</t>
  </si>
  <si>
    <t>SF-00102</t>
  </si>
  <si>
    <t>Tinta esmalte sintetico a base de água</t>
  </si>
  <si>
    <t>SF-00103</t>
  </si>
  <si>
    <t>SF-00104</t>
  </si>
  <si>
    <t>REVESTIMENTO EM CERAMICA ESMALTADA EXTRA, PEI MAIOR OU IGUAL 4, FORMATO MAIOR A 2025 CM2</t>
  </si>
  <si>
    <t>SF-00105</t>
  </si>
  <si>
    <t>ARGAMASSA TRAÇO 1:4 (EM VOLUME DE CIMENTO E AREIA MÉDIA ÚMIDA) PARA CONTRAPISO, PREPARO MANUAL. AF_08/2019</t>
  </si>
  <si>
    <t>Aditivo adesivo liquido para argamassas de revestimentos cimenticios</t>
  </si>
  <si>
    <t>SF-00106</t>
  </si>
  <si>
    <t>SF-00107</t>
  </si>
  <si>
    <t>Granito Cinza Andorinha, com 20 mm de espessura, para piso</t>
  </si>
  <si>
    <t>SF-00108</t>
  </si>
  <si>
    <t>Granito Cinza Andorinha, com 20 mm de espessura e 70 mm de altura, para rodapé</t>
  </si>
  <si>
    <t>Obs: na pesquisa de preços do insumo, considerou-se 1 m de polimento a cada metro de rodapé.</t>
  </si>
  <si>
    <t>SF-00109</t>
  </si>
  <si>
    <t>Granito Cinza Andorinha, com 20 mm de espessura e 150 mm de altura, para soleira e peitoril</t>
  </si>
  <si>
    <t>Obs: na pesquisa de preços do insumo, considerou-se 1 m de polimento a cada metro de soleira.</t>
  </si>
  <si>
    <t>SF-00110</t>
  </si>
  <si>
    <t>Granito Preto São Gabriel, com 20 mm de espessura, para piso</t>
  </si>
  <si>
    <t>SF-00111</t>
  </si>
  <si>
    <t>Granito Preto São Gabriel, com 20 mm de espessura e 70 mm de altura, para rodapé</t>
  </si>
  <si>
    <t>SF-00112</t>
  </si>
  <si>
    <t>Granito Preto São Gabriel, com 20 mm de espessura e 150 mm de altura, para soleira e peitoril</t>
  </si>
  <si>
    <t>SF-00113</t>
  </si>
  <si>
    <t>SF-00114</t>
  </si>
  <si>
    <t>Mármore Bege Bahia, com 20 mm de espessura, para piso e parede</t>
  </si>
  <si>
    <t>SF-00115</t>
  </si>
  <si>
    <t>Mármore Branco Especial, com 20 mm de espessura, para piso e parede</t>
  </si>
  <si>
    <t>SF-00116</t>
  </si>
  <si>
    <t>Cola a base de resina sintetica para chapa de laminado melaminico</t>
  </si>
  <si>
    <t>SF-00117</t>
  </si>
  <si>
    <t>SF-00118</t>
  </si>
  <si>
    <t>SF-00119</t>
  </si>
  <si>
    <t>SF-00120</t>
  </si>
  <si>
    <t>SF-00121</t>
  </si>
  <si>
    <t>ABERTURA PARA ENCAIXE DE CUBA OU LAVATORIO EM BANCADA DE MARMORE/ GRANITO OU OUTRO TIPO DE PEDRA NATURAL</t>
  </si>
  <si>
    <t>SF-00122</t>
  </si>
  <si>
    <t>FURO PARA TORNEIRA OU OUTROS ACESSORIOS  EM BANCADA DE MARMORE/ GRANITO OU OUTRO TIPO DE PEDRA NATURAL</t>
  </si>
  <si>
    <t>SF-00123</t>
  </si>
  <si>
    <t>Granito Cinza Andorinha ou equivalente, com 20 mm de espessura e 150 mm de altura, polido, para rodabancada</t>
  </si>
  <si>
    <t>SF-00124</t>
  </si>
  <si>
    <t>Granito Cinza Andorinha, com 20 mm de espessura, polido, para bancadas, com testeira com acabamento em meia esquadria</t>
  </si>
  <si>
    <t>SF-00125</t>
  </si>
  <si>
    <t>ARGAMASSA TRAÇO 1:4 (EM VOLUME DE CIMENTO E AREIA MÉDIA ÚMIDA), PREPARO MANUAL. AF_08/2019</t>
  </si>
  <si>
    <t>SF-00126</t>
  </si>
  <si>
    <t>Granito Preto São Gabriel ou equivalente, com 20 mm de espessura e 150 mm de altura, polido, para rodabancada</t>
  </si>
  <si>
    <t>SF-00127</t>
  </si>
  <si>
    <t>Granito Preto São Gabriel ou equivalente, com 20 mm de espessura, polido, com testeira para acabamento em meia esquadria, para bancadas</t>
  </si>
  <si>
    <t>SF-00128</t>
  </si>
  <si>
    <t>SF-00129</t>
  </si>
  <si>
    <t>SF-00130</t>
  </si>
  <si>
    <t>SF-00131</t>
  </si>
  <si>
    <t>Mármore Branco Especial, com 20 mm de espessura e 150 mm de altura, polido, para rodabancada</t>
  </si>
  <si>
    <t>SF-00138</t>
  </si>
  <si>
    <t>Instalação de divisórias # 35 mm estruturadas em perfis de alumínio, mão de obra para execução</t>
  </si>
  <si>
    <t>SF-00139</t>
  </si>
  <si>
    <t>Perfil tipo cantoneira em L, em aco galvanizado, branco, para forro removivel, *23* x 3000 mm (L x C)</t>
  </si>
  <si>
    <t>Placa de PVC com espessura mínima de 5 mm na cor branca</t>
  </si>
  <si>
    <t>SF-00140</t>
  </si>
  <si>
    <t>ARAME GALVANIZADO 6 BWG, D = 5,16 MM (0,157 KG/M), OU 8 BWG, D = 4,19 MM (0,101 KG/M), OU 10 BWG, D = 3,40 MM (0,0713 KG/M)</t>
  </si>
  <si>
    <t>Forro de PVC, frisado, branco, regua de 10 cm, espessura de 8 mm a 10 mm e comprimento 6 m (sem colocacao)</t>
  </si>
  <si>
    <t>Perfil canaleta, formato C, em aco zincado, para estrutura forro drywall, E = 0,5 mm, *46 x 18* (L x H), comprimento 3 m</t>
  </si>
  <si>
    <t>Pendural ou presilha reguladora, em aco galvanizado, com corpo, mola e rebite, para perfil tipo canaleta de estrutura em forros drywall</t>
  </si>
  <si>
    <t>PARAFUSO ZINCADO, AUTOBROCANTE, FLANGEADO, 4,2 MM X 19 MM</t>
  </si>
  <si>
    <t>PARAFUSO, AUTO ATARRACHANTE, CABECA CHATA, FENDA SIMPLES, 1/4 (6,35 MM) X 25 MM</t>
  </si>
  <si>
    <t>SF-00141</t>
  </si>
  <si>
    <t>SF-00142</t>
  </si>
  <si>
    <t>Forro de PVC modular em placas de 625 mm x 1250 mm</t>
  </si>
  <si>
    <t>SF-00143</t>
  </si>
  <si>
    <t>Forro em chapa galvanizada</t>
  </si>
  <si>
    <t>Pintura eletrostática</t>
  </si>
  <si>
    <t>SF-00144</t>
  </si>
  <si>
    <t>SF-00145</t>
  </si>
  <si>
    <t>SF-00146</t>
  </si>
  <si>
    <t>FORRO DE FIBRA MINERAL EM PLACAS DE 625 X 625 MM, E = 15 MM, BORDA RETA, COM PINTURA ANTIMOFO, APOIADO EM PERFIL DE ACO GALVANIZADO COM 24 MM DE BASE - INSTALADO</t>
  </si>
  <si>
    <t>SF-00147</t>
  </si>
  <si>
    <t>Placa de fibra mineral para forro, de 625 x 625 mm, E = 15 mm, borda reta, com pintura antimofo (nao inclui perfis)</t>
  </si>
  <si>
    <t>UN</t>
  </si>
  <si>
    <t>SF-00148</t>
  </si>
  <si>
    <t>SF-00149</t>
  </si>
  <si>
    <t>SF-00150</t>
  </si>
  <si>
    <t>Perfil tabica fechada, lisa, formato Z, em aco galvanizado natural, largura total na horizontal *40* mm, para estrutura forro drywall</t>
  </si>
  <si>
    <t>SF-00151</t>
  </si>
  <si>
    <t>ADESIVO ACRILICO/COLA DE CONTATO</t>
  </si>
  <si>
    <t>SF-00152</t>
  </si>
  <si>
    <t>Baguetes metálicos</t>
  </si>
  <si>
    <t>SF-00153</t>
  </si>
  <si>
    <t>Massa para vidro</t>
  </si>
  <si>
    <t>SF-00154</t>
  </si>
  <si>
    <t>Espelho cristal comum #5mm</t>
  </si>
  <si>
    <t>SF-00155</t>
  </si>
  <si>
    <t>SF-00156</t>
  </si>
  <si>
    <t>Silicone acetico uso geral incolor 280 g</t>
  </si>
  <si>
    <t>Obs.: considerando que cada bisnaga rende, no mínimo, 3 m de aplicação.</t>
  </si>
  <si>
    <t>SF-00157</t>
  </si>
  <si>
    <t>Vidro liso incolor 4mm - sem colocacao</t>
  </si>
  <si>
    <t>SF-00158</t>
  </si>
  <si>
    <t>VIDRO LISO INCOLOR 6 MM - SEM COLOCACAO</t>
  </si>
  <si>
    <t>SF-00159</t>
  </si>
  <si>
    <t>SF-00160</t>
  </si>
  <si>
    <t>Mola Hidráulica de piso universal para portas de batente e portas vai-e-vem em aço inoxidável. Ref.: DORMA, modelo BTS 75V, com eixo intercambiável tipo "B"</t>
  </si>
  <si>
    <t>Impermeabilizante Dorma SealProtect</t>
  </si>
  <si>
    <t>SF-00161</t>
  </si>
  <si>
    <t>SF-00166</t>
  </si>
  <si>
    <t>Vedacao PVC, 100 mm, para saida vaso sanitario</t>
  </si>
  <si>
    <t>Tubo de ligação para bacia sanitária em PVC, com acabamento cromado, ajustável ou não. Ref.: DECA 1968C ou equivalente</t>
  </si>
  <si>
    <t>SF-00167</t>
  </si>
  <si>
    <t>Adesivo plastico para PVC, frasco com 850 gr</t>
  </si>
  <si>
    <t>Solucao limpadora para PVC, frasco com 1000 cm3</t>
  </si>
  <si>
    <t>Lixa d'agua em folha, grao 100</t>
  </si>
  <si>
    <t>SF-00168</t>
  </si>
  <si>
    <t>SF-00169</t>
  </si>
  <si>
    <t>SF-00170</t>
  </si>
  <si>
    <t>SF-00171</t>
  </si>
  <si>
    <t>Tubo PVC, soldavel, DN 25 mm, agua fria (NBR-5648)</t>
  </si>
  <si>
    <t>SF-00172</t>
  </si>
  <si>
    <t>Tubo PVC, soldavel, DN 32 mm, agua fria (NBR-5648)</t>
  </si>
  <si>
    <t>SF-00173</t>
  </si>
  <si>
    <t>Tubo PVC, soldavel, DN 40 mm, agua fria (NBR-5648)</t>
  </si>
  <si>
    <t>SF-00174</t>
  </si>
  <si>
    <t>TUBO PVC, SOLDAVEL, DN 50 MM, PARA AGUA FRIA (NBR-5648)</t>
  </si>
  <si>
    <t>SF-00175</t>
  </si>
  <si>
    <t>Base registro gaveta 3/4" em liga de cobre, mod 4509.202 ref: DECA ou equivalente</t>
  </si>
  <si>
    <t>FITA VEDA ROSCA EM ROLOS DE 18 MM X 50 M (L X C)</t>
  </si>
  <si>
    <t>SF-00176</t>
  </si>
  <si>
    <t>Anel borracha para tubo esgoto predial DN 75 mm (NBR 5688)</t>
  </si>
  <si>
    <t>Caixa sifonada PVC, 150 x 185 x 75 mm, com grelha quadrada branca</t>
  </si>
  <si>
    <t>Pasta lubrificante para tubos e conexoes com junta elastica (uso em PVC, aco, polietileno e outros) ( de *400* g)</t>
  </si>
  <si>
    <t>SF-00177</t>
  </si>
  <si>
    <t>CAIXA SIFONADA PVC, 250 X 230 X 75 MM, COM TAMPA E PORTA TAMPA QUADRADA BRANCA</t>
  </si>
  <si>
    <t>SF-00178</t>
  </si>
  <si>
    <t>Grelha quadrada para ralo, com caixilho, dimensões 10x10cm, em Aço polido, ref.: Moldenox ou equivalente</t>
  </si>
  <si>
    <t>SF-00179</t>
  </si>
  <si>
    <t>Grelha quadrada para ralo, com caixilho, dimensões 15x15cm, em Aço polido, ref.: Moldenox ou equivalente</t>
  </si>
  <si>
    <t>SF-00180</t>
  </si>
  <si>
    <t>Ralo seco PVC conico, 100 x 40 mm,  com grelha redonda branca</t>
  </si>
  <si>
    <t>SF-00181</t>
  </si>
  <si>
    <t>Assento poliéster com fixação cromada na cor branco gelo, ref: AP.75.17 – Linha Fast/Aspen – Deca ou equivalente</t>
  </si>
  <si>
    <t>SF-00182</t>
  </si>
  <si>
    <t>Bacia sanitaria (vaso) convencional de louca branca</t>
  </si>
  <si>
    <t>Parafuso niquelado com acabamento cromado para fixar peca sanitaria, inclui porca cega, arruela e bucha de nylon tamanho S-10</t>
  </si>
  <si>
    <t>SF-00183</t>
  </si>
  <si>
    <t>Bacia convencional com saída horizontal (Modelo P.90.17 – Linha Ravena – Deca)</t>
  </si>
  <si>
    <t>SF-00184</t>
  </si>
  <si>
    <t>Cuba oval de embutir, mod.: L37, cor branca ref: DECA ou equivalente</t>
  </si>
  <si>
    <t>Massa plastica para marmore/granito</t>
  </si>
  <si>
    <t>SF-00185</t>
  </si>
  <si>
    <t>Cuba retangular com as dimensões 0,34x0,40x0,18m, em aço Inox AISI 304 com acabamento em alto brilho, com válvula de escoamento, ref: Franke 12646 ou equivalente</t>
  </si>
  <si>
    <t>SF-00186</t>
  </si>
  <si>
    <t>Cuba semi-encaixe com mesa, mod.: L830 ref: DECA ou equivalente</t>
  </si>
  <si>
    <t>SF-00187</t>
  </si>
  <si>
    <t>Parafuso niquelado 3 1/2" com acabamento cromado para fixar peca sanitaria, inclui porca cega, arruela e bucha de nylon tamanho S-8</t>
  </si>
  <si>
    <t>SF-00188</t>
  </si>
  <si>
    <t>Fita veda rosca em rolos de 18 mm x 10 m (L x C)</t>
  </si>
  <si>
    <t>Obs.: Redução do coeficiente de MO, considerando que esse serviço não inclui engate flexível e válvula de descarga.</t>
  </si>
  <si>
    <t>SF-00189</t>
  </si>
  <si>
    <t>SF-00190</t>
  </si>
  <si>
    <t>Lavatorio louca branca suspenso *40 x 30* cm</t>
  </si>
  <si>
    <t>SF-00191</t>
  </si>
  <si>
    <t>Mictorio sifonado louca branca sem complementos</t>
  </si>
  <si>
    <t>SF-00192</t>
  </si>
  <si>
    <t>Tanque de louça com capacidade de 38 litros na cor branca, suspenso, sem coluna</t>
  </si>
  <si>
    <t>SF-00193</t>
  </si>
  <si>
    <t>Acabamento para registro de gaveta de 1 ¼” a 1 ½” (GD), cromado. Ref.: Modelo 4900.C35.GD – Linha Aspen – Deca</t>
  </si>
  <si>
    <t>SF-00194</t>
  </si>
  <si>
    <t>Acabamento para registro de gaveta e pressão até 1” (PQ), cromado. Ref.: Modelo, 4900.C35.PQ – Linha Aspen – Deca</t>
  </si>
  <si>
    <t>SF-00195</t>
  </si>
  <si>
    <t>Ducha higiênica com registro e derivação, com gatilho branco e flexível de 1,2m. Ref.: Modelo 1984.C35.ACT – Linha Aspen – Deca</t>
  </si>
  <si>
    <t>SF-00196</t>
  </si>
  <si>
    <t>SF-00197</t>
  </si>
  <si>
    <t>Engate / rabicho flexivel inox 1/2 " x 40 cm</t>
  </si>
  <si>
    <t>SF-00198</t>
  </si>
  <si>
    <t>Sifão regulável com tubo de saída corrugado para cozinha, cromado.  Ref.: Modelo VSM182 – Esteves</t>
  </si>
  <si>
    <t>SF-00199</t>
  </si>
  <si>
    <t>Sifao em metal cromado para pia ou lavatorio, 1 x 1.1/2 "</t>
  </si>
  <si>
    <t>SF-00200</t>
  </si>
  <si>
    <t>Sifao em metal cromado para tanque, 1.1/4 x 1.1/2 "</t>
  </si>
  <si>
    <t>SF-00201</t>
  </si>
  <si>
    <t>Torneira de mesa para cozinha, cromada. Ref.: Deca Targa 1167.C40.CR</t>
  </si>
  <si>
    <t>SF-00202</t>
  </si>
  <si>
    <t>Torneira de mesa bica móvel com arejador articulado para cozinha, cromada. Ref.: Código B5814C2CRB – Linha City – Celite</t>
  </si>
  <si>
    <t>SF-00203</t>
  </si>
  <si>
    <t>Torneira de mesa para lavatório, para uso clínico e apoio à pessoa. Ref.: Deca Link 1196.CLNK</t>
  </si>
  <si>
    <t>SF-00204</t>
  </si>
  <si>
    <t>Torneira de mesa para lavatorio, bica alta, com arejador, cromado. Ref.: Código B5810C2CRB – Linha City – Celite</t>
  </si>
  <si>
    <t>SF-00205</t>
  </si>
  <si>
    <t>Torneira de mesa para lavatorio bica baixa. Ref.: Código B5811C2CRB – Linha City – Celite</t>
  </si>
  <si>
    <t>SF-00206</t>
  </si>
  <si>
    <t>TORNEIRA CROMADA DE MESA PARA LAVATORIO TEMPORIZADA PRESSAO BICA BAIXA</t>
  </si>
  <si>
    <t>SF-00207</t>
  </si>
  <si>
    <t>Torneira de parede para cozinha bica móvel com arejador articulado, cromada. Ref.: Código B5815C2CRB – Linha City – Celite</t>
  </si>
  <si>
    <t>SF-00208</t>
  </si>
  <si>
    <t>Torneira cromada com bico para jardim/tanque 1/2 " ou 3/4 " (ref 1153)</t>
  </si>
  <si>
    <t>SF-00209</t>
  </si>
  <si>
    <t xml:space="preserve">Válvula de descarga 1 1/2" cromada. ref.: modelo 2565.C.112.CONF – linha Hydra Eco Conforto – Deca </t>
  </si>
  <si>
    <t>Fita veda rosca em rolos de 18 mm x 50 m (L x C)</t>
  </si>
  <si>
    <t>SF-00210</t>
  </si>
  <si>
    <t>Valvula de descarga metalica, base 1 1/2 " e acabamento metalico cromado</t>
  </si>
  <si>
    <t>SF-00211</t>
  </si>
  <si>
    <t>Válvula de descarga 1 1/4" . Ref.: Modelo 2565.C.114.CONF – Linha Hydra Eco Conforto – Deca</t>
  </si>
  <si>
    <t>SF-00212</t>
  </si>
  <si>
    <t>Valvula de descarga metalica, base 1 1/4 " e acabamento metalico cromado</t>
  </si>
  <si>
    <t>SF-00213</t>
  </si>
  <si>
    <t>Valvula em metal cromado para lavatorio, 1 " sem ladrao</t>
  </si>
  <si>
    <t>SF-00214</t>
  </si>
  <si>
    <t>Valvula em metal cromado para tanque, 1.1/2 " sem ladrao</t>
  </si>
  <si>
    <t>SF-00215</t>
  </si>
  <si>
    <t>Valvula de descarga em metal cromado para mictorio com acionamento por pressao e fechamento automatico</t>
  </si>
  <si>
    <t>SF-00216</t>
  </si>
  <si>
    <t xml:space="preserve">Alarme de emergência audiovisual intermitente com fio. Ref. Planeta Acessível Alarme PCD ou AbaFire AFSAVPNE + AbaFire AFAMPNE </t>
  </si>
  <si>
    <t>SF-00217</t>
  </si>
  <si>
    <t>Barra de apoio com comprimento de 405mm e espaçamento de 66mm da parede, barra com bitola de 32m, em aço escovado</t>
  </si>
  <si>
    <t>Bucha de nylon, diametro do furo 8 mm, comprimento 40 mm, com parafuso de rosca soberba, cabeca chata, fenda simples, 4,8 x 50 mm</t>
  </si>
  <si>
    <t>SF-00218</t>
  </si>
  <si>
    <t>Barra de apoio com comprimento de 705mm e espaçamento de 66mm da parede, barra com bitola de 32mm em aço escovado</t>
  </si>
  <si>
    <t>SF-00219</t>
  </si>
  <si>
    <t>Barra de apoio linha conforto com comprimento de 805mm e espaçamento de 66mm da parede, barra com bitola de 32mm em aço escovado</t>
  </si>
  <si>
    <t>SF-00220</t>
  </si>
  <si>
    <t>Barra de apoio lateral fixa, com 303mm de comprimento, com a bitola de 32mm e em aço escovado</t>
  </si>
  <si>
    <t>SF-00221</t>
  </si>
  <si>
    <t>Lavatório para instalação com coluna suspensa, para apoio à pessoa com deficiência. Ref.: Modelo L.39.17 – Linha Spot – Deca</t>
  </si>
  <si>
    <t>SF-00222</t>
  </si>
  <si>
    <t>Coluna suspensa para lavatório para apoio à pessoa com deficiência. Ref..: Deca Spot CS.39.17</t>
  </si>
  <si>
    <t>SF-00223</t>
  </si>
  <si>
    <t>Cabide, cromado. Ref.: Modelo 2060.C.FLX – Linha Flex – Deca</t>
  </si>
  <si>
    <t>Fixação utilizando parafuso e bucha de nylon, somente mão de obra. af_10/2016</t>
  </si>
  <si>
    <t>SF-00224</t>
  </si>
  <si>
    <t>Papeleira, cromada. Ref.: Modelo 2020.C.FLX – Linha Flex – Deca</t>
  </si>
  <si>
    <t>SF-00225</t>
  </si>
  <si>
    <t>Porta-toalha em argola, cromado. Ref.: Modelo 2050.C.FLX – Linha Flex – Deca</t>
  </si>
  <si>
    <t>SF-00226</t>
  </si>
  <si>
    <t>Porta-toalha em barra, cromado. Ref.: Modelo 2040.C.FLX – Linha Flex – Deca</t>
  </si>
  <si>
    <t>SF-00227</t>
  </si>
  <si>
    <t>Caixa de passagem, em PVC, de 4" x 2", para eletroduto flexivel corrugado</t>
  </si>
  <si>
    <t>SF-00228</t>
  </si>
  <si>
    <t>Caixa 4x2 para drywall</t>
  </si>
  <si>
    <t>SF-00229</t>
  </si>
  <si>
    <t>Caixa de passagem, em PVC, de 4" x 4", para eletroduto flexivel corrugado</t>
  </si>
  <si>
    <t>SF-00230</t>
  </si>
  <si>
    <t>Caixa 4x4 para drywall</t>
  </si>
  <si>
    <t>SF-00231</t>
  </si>
  <si>
    <t>Caixa de passagem em alumínio c/ tampa, 100x100x50mm</t>
  </si>
  <si>
    <t>SF-00232</t>
  </si>
  <si>
    <t>Caixa de passagem em alumínio c/ tampa, 200x200x100mm</t>
  </si>
  <si>
    <t>SF-00233</t>
  </si>
  <si>
    <t>CAIXA DE PASSAGEM ELETRICA DE PAREDE, DE EMBUTIR, EM PVC, COM TAMPA APARAFUSADA, DIMENSOES 150 X 150 X *75* MM</t>
  </si>
  <si>
    <t>SF-00234</t>
  </si>
  <si>
    <t>Caixa para piso elevado, 170 mm x 170 mm x 70 mm (dimensões aproximadas), incluindo módulos de tomadas 2P+T (fêmea).</t>
  </si>
  <si>
    <t>SF-00235</t>
  </si>
  <si>
    <t>Canaleta em alumínio com tampa, divisória interna, 73x25mm, incluindo curvas, conexões e acessórios de fixação</t>
  </si>
  <si>
    <t>SF-00236</t>
  </si>
  <si>
    <t>Bucha de nylon sem aba S6, com parafuso de 4,20 x 40 mm em aco zincado com rosca soberba, cabeca chata e fenda Phillips</t>
  </si>
  <si>
    <t>Condulete de aluminio tipo X, para eletroduto roscavel de 1", com tampa cega</t>
  </si>
  <si>
    <t>SF-00237</t>
  </si>
  <si>
    <t>Tiro com pistola para fixação de pino Ø 1/4" em concreto, inclusive cartucho e pino</t>
  </si>
  <si>
    <t>Eletrocalha perfurada (cabos elétricos) ou lisa (dados), tipo "U", de aço galvanizado eletrolítico 100 x 50 mm, fabricado em chapa #20 (0,95 mm)</t>
  </si>
  <si>
    <t>Barra roscada em aço Ø 1/4", comprimento 1 m, bicromatizada ou zincada</t>
  </si>
  <si>
    <t>PORCA ZINCADA, SEXTAVADA, DIAMETRO 1/4"</t>
  </si>
  <si>
    <t>Arruela em aço galvanizado Ø 1/4"</t>
  </si>
  <si>
    <t>Suporte suspensão vertical para eletrocalha 100 x 50 mm largura x aba</t>
  </si>
  <si>
    <t>Prolongador para tirante rosqueado de 1/4" x 50 mm</t>
  </si>
  <si>
    <t>Parafuso lentilha 1/4 x 1/2"</t>
  </si>
  <si>
    <t>Tala auto portante para emenda 50 mm</t>
  </si>
  <si>
    <t>Tampa de encaixe para eletrocalha aço galvanizado perfurada ou lisa, 100 mm</t>
  </si>
  <si>
    <t>SF-00238</t>
  </si>
  <si>
    <t>Eletrocalha perfurada (cabos elétricos) ou lisa (dados), tipo "U", de aço galvanizado eletrolítico 200 x 100 mm, fabricado em chapa #18 (1,25 mm)</t>
  </si>
  <si>
    <t>Suporte suspensão omega para eletrocalha 200 x 100mm largura x aba</t>
  </si>
  <si>
    <t>Tala auto portante para emenda 100 mm</t>
  </si>
  <si>
    <t>Tampa de encaixe para eletrocalha aço galvanizado perfurada ou lisa, 200 mm</t>
  </si>
  <si>
    <t>SF-00239</t>
  </si>
  <si>
    <t>Eletrocalha perfurada (cabos elétricos) ou lisa (dados), tipo "U", de aço galvanizado eletrolítico 200 x 50 mm, fabricado em chapa #18 (1,25 mm)</t>
  </si>
  <si>
    <t>Suporte suspensão omega para eletrocalha 200 x 50 mm largura x aba</t>
  </si>
  <si>
    <t>SF-00240</t>
  </si>
  <si>
    <t>Eletrocalha perfurada (cabos elétricos) ou lisa (dados), tipo "U", de aço galvanizado eletrolítico 300 x 100 mm, fabricado em chapa #18 (1,25 mm)</t>
  </si>
  <si>
    <t>Suporte suspensão omega para eletrocalha 300 x 100 mm largura x aba</t>
  </si>
  <si>
    <t>Tampa de encaixe para eletrocalha aço galvanizado perfurada ou lisa, 300 mm</t>
  </si>
  <si>
    <t>SF-00241</t>
  </si>
  <si>
    <t>Eletrocalha perfurada (cabos elétricos) ou lisa (dados), tipo "U", de aço galvanizado eletrolítico 300 x 050 mm, fabricado em chapa #18 (1,25 mm)</t>
  </si>
  <si>
    <t>Suporte suspensão omega para eletrocalha 300 x 50 mm largura x aba</t>
  </si>
  <si>
    <t>SF-00242</t>
  </si>
  <si>
    <t>Eletrocalha perfurada (cabos elétricos) ou lisa (dados), tipo "U", de aço galvanizado eletrolítico 400 x 050 mm, fabricado em chapa #16 (1,55 mm)</t>
  </si>
  <si>
    <t>Suporte suspensão omega para eletrocalha 400 x 50 mm largura x aba</t>
  </si>
  <si>
    <t>Tampa de encaixe para eletrocalha aço galvanizado perfurada ou lisa, 400 mm</t>
  </si>
  <si>
    <t>SF-00243</t>
  </si>
  <si>
    <t>Eletrocalha perfurada (cabos elétricos) ou lisa (dados), tipo "U", de aço galvanizado eletrolítico 50 x 50 mm, fabricado em chapa #22 (0,8 mm)</t>
  </si>
  <si>
    <t>Suporte suspensão vertical para eletrocalha 50 x 50 mm largura x aba</t>
  </si>
  <si>
    <t>Tampa de encaixe para eletrocalha aço galvanizado perfurada ou lisa, 50 mm</t>
  </si>
  <si>
    <t>SF-00244</t>
  </si>
  <si>
    <t>Eletroduto de aço com costura galvanização eletrolítica Ø 1 1/2"</t>
  </si>
  <si>
    <t>Fixação de tubos verticais de PPR diâmetros menores ou iguais a 40 mm com abraçadeira metálica rígida tipo D 1/2", fixada em perfilado em alvenaria. af_05/2015</t>
  </si>
  <si>
    <t>Luva de emenda para eletroduto, aço galvanizado, DN 40 mm (1 1/2''), aparente, instalada em parede - fornecimento e instalação. af_11/2016_p</t>
  </si>
  <si>
    <t>SF-00245</t>
  </si>
  <si>
    <t>Eletroduto de aço com costura galvanização eletrolítica Ø 1 1/4"</t>
  </si>
  <si>
    <t>Luva de emenda para eletroduto, aço galvanizado, DN 32 mm (1 1/4''), aparente, instalada em parede - fornecimento e instalação. af_11/2016_p</t>
  </si>
  <si>
    <t>SF-00246</t>
  </si>
  <si>
    <t>Eletroduto de aço com costura galvanização eletrolítica Ø 1"</t>
  </si>
  <si>
    <t>Luva de emenda para eletroduto, aço galvanizado, DN 25 mm (1''), aparente, instalada em parede - fornecimento e instalação. af_11/2016_p</t>
  </si>
  <si>
    <t>SF-00247</t>
  </si>
  <si>
    <t>Eletroduto de aço com costura galvanização eletrolítica Ø 2"</t>
  </si>
  <si>
    <t>FIXAÇÃO DE TUBOS VERTICAIS DE PPR DIÂMETROS MAIORES QUE 40 MM E MENORES OU IGUAIS A 75 MM COM ABRAÇADEIRA METÁLICA RÍGIDA TIPO D 2", FIXADA EM PERFILADO EM ALVENARIA. AF_05/2015</t>
  </si>
  <si>
    <t>M</t>
  </si>
  <si>
    <t>Luva de emenda para eletroduto, aço galvanizado, DN 50 mm (2''), aparente, instalada em parede - fornecimento e instalação. af_11/2016_p</t>
  </si>
  <si>
    <t>SF-00248</t>
  </si>
  <si>
    <t>Eletroduto de aço com costura galvanização eletrolítica Ø 3/4"</t>
  </si>
  <si>
    <t>Luva de emenda para eletroduto, aço galvanizado, DN 20 mm (3/4''), aparente, instalada em parede - fornecimento e instalação. af_11/2016_p</t>
  </si>
  <si>
    <t>SF-00249</t>
  </si>
  <si>
    <t>Eletroduto PVC flexivel corrugado, reforcado, cor laranja, de 32 mm, para lajes e pisos</t>
  </si>
  <si>
    <t>Fixação de tubos horizontais de PVC, CPVC ou cobre diâmetros menores ou iguais a 40 mm ou eletrocalhas até 150mm de largura, com abraçadeira metálica rígida tipo d 1/2, fixada em perfilado em laje. af_05/2015</t>
  </si>
  <si>
    <t>SF-00250</t>
  </si>
  <si>
    <t>Eletroduto PVC flexivel corrugado, reforcado, cor laranja, de 25 mm, para lajes e pisos</t>
  </si>
  <si>
    <t>SF-00251</t>
  </si>
  <si>
    <t>Eletroduto flexivel, em aco galvanizado, revestido externamente com PVC preto, diametro externo de 32 mm (1"), tipo sealtubo</t>
  </si>
  <si>
    <t>SF-00252</t>
  </si>
  <si>
    <t>Eletroduto flexivel, em aco galvanizado, revestido externamente com PVC preto, diametro externo de 25 mm (3/4"), tipo sealtubo</t>
  </si>
  <si>
    <t>SF-00253</t>
  </si>
  <si>
    <t>Perfilado perfurado em aço galvanizado # 18, 38 x 38 mm</t>
  </si>
  <si>
    <t>Suporte curto para perfilado em aço galvanizado # 22, 38 mm x 100 mm</t>
  </si>
  <si>
    <t>Tala 4 furos para emenda 38 mm</t>
  </si>
  <si>
    <t>Tampa de encaixe para perfilado em aço galvanizado 38 mm</t>
  </si>
  <si>
    <t>SF-00254</t>
  </si>
  <si>
    <t>Espelho / placa de 3 postos 4" x 2", para instalacao de tomadas e interruptores</t>
  </si>
  <si>
    <t>Suporte de fixacao para espelho / placa 4" x 2", para 3 modulos, para instalacao de tomadas e interruptores (somente suporte)</t>
  </si>
  <si>
    <t>SF-00255</t>
  </si>
  <si>
    <t>Espelho / placa de 6 postos 4" x 4", para instalacao de tomadas e interruptores</t>
  </si>
  <si>
    <t>Suporte de fixacao para espelho / placa 4" x 4", para 6 modulos, para instalacao de tomadas e interruptores (somente suporte)</t>
  </si>
  <si>
    <t>SF-00256</t>
  </si>
  <si>
    <t>Espelho cego redondo</t>
  </si>
  <si>
    <t>SF-00257</t>
  </si>
  <si>
    <t xml:space="preserve">Tampa para condulete alumínio para eletrodutos de 1", de sobrepor , com conexões e acessórios. </t>
  </si>
  <si>
    <t>Interruptor para condulete alumínio para eletrodutos de 1’’, de sobrepor, com conexões e acessórios.</t>
  </si>
  <si>
    <t>SF-00258</t>
  </si>
  <si>
    <t>Módulo cego</t>
  </si>
  <si>
    <t>SF-00259</t>
  </si>
  <si>
    <t>Interruptor paralelo 10A, 250V (apenas modulo)</t>
  </si>
  <si>
    <t>SF-00260</t>
  </si>
  <si>
    <t>Interruptor simples 10A, 250V (apenas modulo)</t>
  </si>
  <si>
    <t>SF-00261</t>
  </si>
  <si>
    <t>Módulo para saída de fio</t>
  </si>
  <si>
    <t>SF-00262</t>
  </si>
  <si>
    <t>Módulo sensor de presença</t>
  </si>
  <si>
    <t>SF-00263</t>
  </si>
  <si>
    <t>TOMADA 2P+T 10A, 250V  (APENAS MODULO)</t>
  </si>
  <si>
    <t>SF-00264</t>
  </si>
  <si>
    <t>TOMADA 2P+T 20A, 250V  (APENAS MODULO)</t>
  </si>
  <si>
    <t>SF-00265</t>
  </si>
  <si>
    <t/>
  </si>
  <si>
    <t>Porta equipamentos para canaleta de alumínio aparente</t>
  </si>
  <si>
    <t>SF-00266</t>
  </si>
  <si>
    <t xml:space="preserve">Tampa cega para caixa de piso 4x2 cromada. </t>
  </si>
  <si>
    <t>SF-00267</t>
  </si>
  <si>
    <t xml:space="preserve">Tampa cega para caixa de piso 4x4 cromada. </t>
  </si>
  <si>
    <t>SF-00268</t>
  </si>
  <si>
    <t>Tampa cega para condulete alumínio para eletrodutos de 1’’, de sobrepor, com conexões e acessórios.</t>
  </si>
  <si>
    <t>SF-00269</t>
  </si>
  <si>
    <t>Espelho para dois módulos RJ45 para condulete alumínio para eletrodutos de 1’’, de sobrepor, com conexões e acessórios.</t>
  </si>
  <si>
    <t>SF-00270</t>
  </si>
  <si>
    <t>SF-00271</t>
  </si>
  <si>
    <t>Caixa com tampa fixa em perfil para tomada em perfilado</t>
  </si>
  <si>
    <t>Tomada de embutir 2 polos + terra sem placa 250 V 10 A</t>
  </si>
  <si>
    <t>SF-00272</t>
  </si>
  <si>
    <t>Bloco autônomo (luminária de emergência). Ref.: Aureon BLOKITO BLK 500 (9901.0000.1079.05 – Aclaramento e 9901.0000.1128.05 – balizamento)</t>
  </si>
  <si>
    <t>SF-00273</t>
  </si>
  <si>
    <t>Cabo PP 3x2,5mm2 300/500 V, extraflexível (classe 5), com condutor de proteção, com isolação, enchimento e cobertura de PVC</t>
  </si>
  <si>
    <t>Plugue (macho) com 3 polos (2P+T), para 10A</t>
  </si>
  <si>
    <t>Plugue (fêmea) com 3 polos (2P+T), para 10A</t>
  </si>
  <si>
    <t>SF-00274</t>
  </si>
  <si>
    <t>Luminária de embutir T5 2 x 14W, ref: Intral DE-500 (cod. 08017); Lumicenter FAA20-E214</t>
  </si>
  <si>
    <t>Lâmpada fluorescente T5 de 14W, ref: Osram HE 14W/840 SMARTLUX; Philips TL5-14W-HE/840; GE F14W/T5/840</t>
  </si>
  <si>
    <t>SF-00275</t>
  </si>
  <si>
    <t>Luminária de sobrepor T5 2 x 14W, ref: Intral DS-500 (cod. 08021); Lumicenter FAA20-S214</t>
  </si>
  <si>
    <t>SF-00276</t>
  </si>
  <si>
    <t>Luminária de embutir T5 2 x 28W, ref: Intral DE-500 (cod. 08025); Lumicenter FAA20-E228</t>
  </si>
  <si>
    <t>Lâmpada fluorescente T5 de 28W, ref: Osram HE 28W/840 SMARTLUX; Philips TL5-28W-HE/840; GE F28W/T5/840</t>
  </si>
  <si>
    <t>SF-00277</t>
  </si>
  <si>
    <t>Luminária de sobrepor T5 2 x 28W, ref: Intral DS-500 (cod. 08029); Lumicenter FAA20-S228</t>
  </si>
  <si>
    <t>SF-00278</t>
  </si>
  <si>
    <t>Cabo flexível isolado em EPR não halogenado 10 mm² 0,6 a 1 kV</t>
  </si>
  <si>
    <t>Fita isolante adesiva antichama, uso ate 750 V, em rolo de 19 mm x 5 m</t>
  </si>
  <si>
    <t>SF-00279</t>
  </si>
  <si>
    <t>Cabo flexível isolado em EPR não halogenado 16 mm² 0,6 a 1 kV</t>
  </si>
  <si>
    <t>SF-00280</t>
  </si>
  <si>
    <t>Cabo de cobre isolado PVC 450/750V 2,5mm² resistente a chamas, livre de halogênios</t>
  </si>
  <si>
    <t>SF-00281</t>
  </si>
  <si>
    <t>Cabo de cobre multipolar, classe 5, isolação em EPR, 0,6/1 kV, 3x2,5mm² resistente a chama, livre de halogênios</t>
  </si>
  <si>
    <t>SF-00282</t>
  </si>
  <si>
    <t>Cabo de cobre isolado PVC 450/750V 4mm² resistente a chamas, livre de halogênios</t>
  </si>
  <si>
    <t>SF-00283</t>
  </si>
  <si>
    <t>Cabo de cobre multipolar, classe 5, isolação em EPR, 0,6/1 kV, 4x2,5mm² resistente a chama, livre de halogênios</t>
  </si>
  <si>
    <t>SF-00284</t>
  </si>
  <si>
    <t>Cabo de cobre isolado PVC 450/750V 6mm² resistente a chamas, livre de halogênios</t>
  </si>
  <si>
    <t>SF-00285</t>
  </si>
  <si>
    <t>Quadro elétrico tipo TTA completo com 30 disjuntores terminais, contemplando disjuntores, dispositovos de proteção contra surto (DPS), módulo diferencial residual (DR), borneiras, barramentos e outros itens necessários, conforme especificação</t>
  </si>
  <si>
    <t>SF-00293</t>
  </si>
  <si>
    <t>MONTADOR ELETROMECÃNICO COM ENCARGOS COMPLEMENTARES</t>
  </si>
  <si>
    <t>SF-00294</t>
  </si>
  <si>
    <t>SF-00295</t>
  </si>
  <si>
    <t>Exaustor axial, 1F/220V/60Hz,  vazão máxima 340 m3/h, pressão estática máxima 104 Pa. Referência Comercial: Multivac Muro150B 220V</t>
  </si>
  <si>
    <t>SF-00296</t>
  </si>
  <si>
    <t>Exaustor axial, 1F/220V/60Hz,  vazão máxima 865 m3/h, pressão estática máxima 582 Pa . Referência Comercial: Multivac AXC 200B</t>
  </si>
  <si>
    <t>SF-00297</t>
  </si>
  <si>
    <t>Chapa de aco galvanizada bitola GSG 22, E = 0,80 mm (6,40 kg/m2)</t>
  </si>
  <si>
    <t>Suportes e acessórios de fixação de dutos em chapa de aço #22</t>
  </si>
  <si>
    <t>cj</t>
  </si>
  <si>
    <t>SF-00298</t>
  </si>
  <si>
    <t>Duto flexível com isolamento térmico e barreira de vapor, diâmetro 6”, 6 m de comprimento. Referência Comercial: Multivac Isodec RT 0.6</t>
  </si>
  <si>
    <t>SF-00299</t>
  </si>
  <si>
    <t>Duto flexível com isolamento térmico e barreira de vapor, diâmetro 8”, 6 m de comprimento. Referência: Multivac Isodec RT 0.6</t>
  </si>
  <si>
    <t>SF-00300</t>
  </si>
  <si>
    <t>Difusor de ar quadrado, 360x360 mm, Referência Comercial: Trox ADLQ-AG Nº4</t>
  </si>
  <si>
    <t>SF-00301</t>
  </si>
  <si>
    <t>Difusor de ar quadrado com caixa pleno AK6 360x360 mm. Ref.: Trox ADLK-AG Nº4</t>
  </si>
  <si>
    <t>SF-00302</t>
  </si>
  <si>
    <t>Difusor de ar quadrado para insuflamento em duas direções perpendiculares 376x376 mm, Referência Comercial: Trox  ADQ-2C-AG</t>
  </si>
  <si>
    <t>SF-00303</t>
  </si>
  <si>
    <t>Difusor de ar retangular para insuflamento em duas direções (fluxo na direção perpendicular às maiores arestas do retângulo), 371x208 mm. Ref.: Trox ADQ-2</t>
  </si>
  <si>
    <t>SF-00304</t>
  </si>
  <si>
    <t>Difusor de ar retangular para insuflamento em três direções (um fluxo na direção perpendicular às maiores arestas do retângulo e dois fluxos na direção perpendicular às menores arestas), 264x432 mm, Referência Comercial: Trox  ADQ-32-AG</t>
  </si>
  <si>
    <t>SF-00305</t>
  </si>
  <si>
    <t>Difusor de ar retangular para insuflamento em três direções 320x562 mm. Ref.: Trox ADQ-32-AG</t>
  </si>
  <si>
    <t>SF-00306</t>
  </si>
  <si>
    <t>Difusor de ar retangular para insuflamento em três direções (dois fluxos na direção perpendicular às maiores arestas do retângulo e um fluxo na direção perpendicular às menores arestas), 371x208 mm. Ref.: Trox ADQ-3</t>
  </si>
  <si>
    <t>SF-00307</t>
  </si>
  <si>
    <t>Difusor de ar retangular para insuflamento em uma direção (fluxo na direção perpendicular às maiores arestas do retângulo), 371x208 mm. Ref.: Trox ADQ-1</t>
  </si>
  <si>
    <t>SF-00308</t>
  </si>
  <si>
    <t>Grelha para retorno de ar com lâminas fixas e registro, 40 x 20 cm</t>
  </si>
  <si>
    <t>SF-00309</t>
  </si>
  <si>
    <t>Grelha para retorno de ar com lâminas fixas e registro, 50 x 30 cm</t>
  </si>
  <si>
    <t>SF-00310</t>
  </si>
  <si>
    <t>SF-00311</t>
  </si>
  <si>
    <t>SF-00312</t>
  </si>
  <si>
    <t>Marceneiro com encargos complementares</t>
  </si>
  <si>
    <t>SF-00313</t>
  </si>
  <si>
    <t>Bomba para condensado de ar-condicionado para instalação oculta, 1F/220V/60Hz, vazão 14 l/h (a 0 mmca). Ref.: Elgin Mini Orange</t>
  </si>
  <si>
    <t>SF-00314</t>
  </si>
  <si>
    <t>Fita aluminizada 48 mm</t>
  </si>
  <si>
    <t>SF-00315</t>
  </si>
  <si>
    <t>Fita PVC 100 mm</t>
  </si>
  <si>
    <t>SF-00316</t>
  </si>
  <si>
    <t>Mangueira emborrachada 3/4"</t>
  </si>
  <si>
    <t>SF-00317</t>
  </si>
  <si>
    <t>Serralheiro com encargos complementares</t>
  </si>
  <si>
    <t>Auxiliar de serralheiro com encargos complementares</t>
  </si>
  <si>
    <t>Suporte para unidade condensadora de aparelho split ou fancolete</t>
  </si>
  <si>
    <t>SF-00318</t>
  </si>
  <si>
    <t>Suporte para unidade evaporadora de aparelho split ou fancolete</t>
  </si>
  <si>
    <t>SF-00319</t>
  </si>
  <si>
    <t>Filtro em Y 1" (DN 25 mm), fabricado em bronze, extremidade com roscas, filtro em aço inoxidável, classe de pressão PN20 ou superior. Ref.: Deca 000.085.100.03</t>
  </si>
  <si>
    <t>SF-00320</t>
  </si>
  <si>
    <t>Filtro em Y 3/4" (DN 20 mm), fabricado em bronze, extremidade com roscas, filtro em aço inoxidável, classe de pressão PN20 ou superior. Ref.: Deca 000.085.034.03</t>
  </si>
  <si>
    <t>SF-00321</t>
  </si>
  <si>
    <t>Atuador tipo liga/desliga (ON/OFF), com tensão compatível com o restante do sistema (24 V ou 220 V) e mecanicamente compatível com a válvula fornecida. Referência comercial: IMI Hydronic Engineering EMO-T</t>
  </si>
  <si>
    <t>Válvula de balanceamento e controle (PIBCV) 2 vias, para controle on-off, diâmetro nominal 1" (25 mm). Ref.: IMI Hydronic Engineering TA-COMPACT-P DN 25, Honeywell VRN2C</t>
  </si>
  <si>
    <t>SF-00322</t>
  </si>
  <si>
    <t>Válvula de balanceamento e controle (PIBCV) 2 vias, para controle on-off, diâmetro nominal 3/4" (20 mm). Ref.: IMI Hydronic Engineering TA-COMPACT-P DN 20, Honeywell VRN2B</t>
  </si>
  <si>
    <t>SF-00323</t>
  </si>
  <si>
    <t>VALVULA DE ESFERA BRUTA EM BRONZE, BITOLA 1 1/2 " (REF 1552-B)</t>
  </si>
  <si>
    <t>SF-00324</t>
  </si>
  <si>
    <t>VALVULA DE ESFERA BRUTA EM BRONZE, BITOLA 1 1/4 " (REF 1552-B)</t>
  </si>
  <si>
    <t>SF-00325</t>
  </si>
  <si>
    <t>Valvula de esfera bruta em bronze, bitola 1 " (ref 1552-B)</t>
  </si>
  <si>
    <t>SF-00326</t>
  </si>
  <si>
    <t>Valvula de esfera bruta em bronze, bitola 3/4 " (ref 1552-B)</t>
  </si>
  <si>
    <t>SF-00327</t>
  </si>
  <si>
    <t>Isolamento elastomérico em formato prancha autoadesiva de espessura M. Ref.: AF/Armaflex M-99/E-A, K-Flex ST</t>
  </si>
  <si>
    <t>SF-00328</t>
  </si>
  <si>
    <t>Isolamento elastomérico em formato de tubo ou coquilha de espessura M, próprio para tubulação de cobre de diâmetro nominal 1 1/8" e para tubulações de ferro de diâmetro nominal 3/4". Ref.: AF/Armaflex M-28, K-Flex ST</t>
  </si>
  <si>
    <t>Obs.: As seguintes proporções foram consideradas quanto ao tempo de mão de obra: 70% para instalação do tubo e 30% para instalação do isolamento térmico.</t>
  </si>
  <si>
    <t>SF-00329</t>
  </si>
  <si>
    <t>Isolamento elastomérico em formato de tubo ou coquilha de espessura M, próprio para tubulação de cobre de diâmetro nominal 1/2". Ref.: AF/Armaflex M-12, K-Flex ST</t>
  </si>
  <si>
    <t>SF-00330</t>
  </si>
  <si>
    <t>Isolamento elastomérico em formato de tubo ou coquilha de espessura M, próprio para tubulação de cobre de diâmetro nominal 1/4". Ref.: AF/Armaflex M-06, K-Flex ST</t>
  </si>
  <si>
    <t>SF-00331</t>
  </si>
  <si>
    <t>Isolamento elastomérico em formato de tubo ou coquilha de espessura M, próprio para tubulação de cobre de diâmetro nominal 3/4". Ref.: AF/Armaflex M-18, K-Flex ST</t>
  </si>
  <si>
    <t>SF-00332</t>
  </si>
  <si>
    <t>Isolamento elastomérico em formato de tubo ou coquilha de espessura M, próprio para tubulação de cobre de diâmetro nominal 3/8". Ref.: AF/Armaflex M-10, K-Flex ST</t>
  </si>
  <si>
    <t>SF-00333</t>
  </si>
  <si>
    <t>Isolamento elastomérico em formato de tubo ou coquilha de espessura M, próprio para tubulação de cobre de diâmetro nominal 5/8". Ref.: AF/Armaflex M-15, K-Flex ST</t>
  </si>
  <si>
    <t>SF-00334</t>
  </si>
  <si>
    <t>Isolamento elastomérico em formato de tubo ou coquilha de espessura M, próprio para tubulação de cobre de diâmetro nominal 7/8" e para tubulações de ferro de diâmetro nominal 1/2". Ref.: AF/Armaflex M-22, K-Flex ST</t>
  </si>
  <si>
    <t>SF-00335</t>
  </si>
  <si>
    <t>Isolamento elastomérico em formato de tubo ou coquilha de espessura M, próprio para tubulação de cobre de diâmetro nominal 1". Ref.: AF/Armaflex M-25, K-Flex ST</t>
  </si>
  <si>
    <t>SF-00336</t>
  </si>
  <si>
    <t>Isolamento elastomérico em formato de tubo ou coquilha de espessura M, próprio para tubulação ferro de diâmetro nominal 1 1/2". Ref.: AF/Armaflex M-48, K-Flex ST</t>
  </si>
  <si>
    <t>SF-00337</t>
  </si>
  <si>
    <t>Isolamento elastomérico em formato de tubo ou coquilha de espessura M, próprio para tubulação ferro de diâmetro nominal 1 1/4". Ref.: AF/Armaflex M-42, K-Flex ST</t>
  </si>
  <si>
    <t>SF-00338</t>
  </si>
  <si>
    <t>Isolamento elastomérico em formato de tubo ou coquilha de espessura M, próprio para tubulação ferro de diâmetro nominal 1". Ref.: AF/Armaflex M-35, K-Flex ST</t>
  </si>
  <si>
    <t>SF-00339</t>
  </si>
  <si>
    <t>Alumínio corrugado sem barreira espessura mínima = 0,15mm</t>
  </si>
  <si>
    <t>SF-00340</t>
  </si>
  <si>
    <t>TUBO ACO CARBONO SEM COSTURA 1 1/2", E= *3,68 MM, SCHEDULE 40, 4,05 KG/M</t>
  </si>
  <si>
    <t>SF-00341</t>
  </si>
  <si>
    <t>SF-00342</t>
  </si>
  <si>
    <t>SF-00343</t>
  </si>
  <si>
    <t>TUBO ACO CARBONO SEM COSTURA 3/4", E= *2,87 MM, SCHEDULE 40, *1,69 KG/M</t>
  </si>
  <si>
    <t>SF-00344</t>
  </si>
  <si>
    <t>Tubo de cobre flexivel, D = 1/2 ", E = 0,79 mm, para ar-condicionado/ instalacoes gas residenciais e comerciais</t>
  </si>
  <si>
    <t>SF-00345</t>
  </si>
  <si>
    <t>Tubo de cobre flexivel, D = 1/4 ", E = 0,79 mm, para ar-condicionado/ instalacoes gas residenciais e comerciais</t>
  </si>
  <si>
    <t>SF-00346</t>
  </si>
  <si>
    <t>Tubo de cobre flexivel, D = 3/4 ", E = 0,79 mm, para ar-condicionado/ instalacoes gas residenciais e comerciais</t>
  </si>
  <si>
    <t>SF-00347</t>
  </si>
  <si>
    <t>Tubo de cobre flexivel, D = 3/8 ", E = 0,79 mm, para ar-condicionado/ instalacoes gas residenciais e comerciais</t>
  </si>
  <si>
    <t>SF-00348</t>
  </si>
  <si>
    <t>Tubo de cobre flexivel, D = 5/8 ", E = 0,79 mm, para ar-condicionado/ instalacoes gas residenciais e comerciais</t>
  </si>
  <si>
    <t>SF-00349</t>
  </si>
  <si>
    <t>Tubo de cobre flexivel, D = 7/8 ", E = 0,79 mm, para ar-condicionado/ instalacoes gas residenciais e comerciais</t>
  </si>
  <si>
    <t>SF-00350</t>
  </si>
  <si>
    <t>Tubo de cobre flexivel, D = 1 ", E = 0,79 mm, para ar-condicionado/ instalacoes gas residenciais e comerciais</t>
  </si>
  <si>
    <t>SF-00351</t>
  </si>
  <si>
    <t>Tubo de cobre flexivel, D = 1 1/8 ", E = 0,79 mm, para ar-condicionado/ instalacoes gas residenciais e comerciais</t>
  </si>
  <si>
    <t>SF-00354</t>
  </si>
  <si>
    <t>SF-00355</t>
  </si>
  <si>
    <t>Suporte mao-francesa em aco, abas iguais 40 cm, capacidade minima 70 kg, branco</t>
  </si>
  <si>
    <t>Chapa de MDF branco liso 2 faces, e = 25 mm, de *2,75 x 1,85* m</t>
  </si>
  <si>
    <t>SF-00356</t>
  </si>
  <si>
    <t>Painel de TV de 120 x 180 cm, fabricado em MDP. Ref.: Urbe Móveis Plus</t>
  </si>
  <si>
    <t>SF-00357</t>
  </si>
  <si>
    <t>Painel de TV de 160 x 160 cm, fabricado em MDP. Ref.: HB Móveis Life Canyon, HB Móveis Livin</t>
  </si>
  <si>
    <t>SF-00358</t>
  </si>
  <si>
    <t>Painel de TV de 90 x 120 cm, fabricado em MDP. Ref.: Germai Ipanema 90 x 120 x 26,5</t>
  </si>
  <si>
    <t>SF-00359</t>
  </si>
  <si>
    <t>BATENTE PARA PORTA DE MADEIRA, PADRÃO MÉDIO - FORNECIMENTO E MONTAGEM. AF_12/2019</t>
  </si>
  <si>
    <t>SF-00360</t>
  </si>
  <si>
    <t>Chapa de proteção em aço inox AISI 304, largura conforme projeto, 400 mm de altura, chapa com espessura de 1 mm, acabamento escovado fosco</t>
  </si>
  <si>
    <t>SF-00361</t>
  </si>
  <si>
    <t>DOBRADICA EM LATAO, 3 " X 2 1/2 ", E= 1,9 A 2 MM, COM ANEL, CROMADO, TAMPA BOLA, COM PARAFUSOS</t>
  </si>
  <si>
    <t>PARAFUSO ROSCA SOBERBA ZINCADO CABECA CHATA FENDA SIMPLES 3,5 X 25 MM (1 ")</t>
  </si>
  <si>
    <t>CARPINTEIRO DE ESQUADRIA COM ENCARGOS COMPLEMENTARES</t>
  </si>
  <si>
    <t>H</t>
  </si>
  <si>
    <t>SERVENTE COM ENCARGOS COMPLEMENTARES</t>
  </si>
  <si>
    <t>SF-00362</t>
  </si>
  <si>
    <t>SF-00363</t>
  </si>
  <si>
    <t>SF-00364</t>
  </si>
  <si>
    <t>SF-00365</t>
  </si>
  <si>
    <t>SF-00366</t>
  </si>
  <si>
    <t>SF-00367</t>
  </si>
  <si>
    <t>PEDREIRO COM ENCARGOS COMPLEMENTARES</t>
  </si>
  <si>
    <t>SF-00368</t>
  </si>
  <si>
    <t>SF-00369</t>
  </si>
  <si>
    <t>Fechadura para porta de banheiro, com maçaneta em formato de barra, confeccionada em aço com acabamento inox polido. Ref.: MZ 270 WC Standard – Linha Standard – Papaiz</t>
  </si>
  <si>
    <t>SF-00370</t>
  </si>
  <si>
    <t>Fechadura para porta externa, com maçaneta em formato de barra, confeccionada em zamac com acabamento cromado. Ref.: MZ 270 EXT Standard – Linha Standard – Papaiz</t>
  </si>
  <si>
    <t>SF-00371</t>
  </si>
  <si>
    <t>Fechadura para porta interna, com acabamento cromado brilhante, maçaneta tipo pera, com pino giratório central. Ref.: CJ 030 (externo) – Linha Professionel – La Fonte</t>
  </si>
  <si>
    <t>SF-00372</t>
  </si>
  <si>
    <t>SF-00373</t>
  </si>
  <si>
    <t>Mola aérea para fechamento automático de portas com regulagem da velocidade de fechamento. Ref.: Mola automática – Modelo 453 - Coimbra</t>
  </si>
  <si>
    <t>SF-00374</t>
  </si>
  <si>
    <t>Pivô em latão com acabamento cromado para portas pivotantes até 150 kg. Conjunto completo composto de superior macho e fêmea e inferior macho e fêmea. Ref.: Pivô Strong 150 - La fonte</t>
  </si>
  <si>
    <t>SF-00375</t>
  </si>
  <si>
    <t>Cabo de dados tipo UTP, tipo LSZH, categoria 6. Ref.: AMP 1989106-6, Furukawa 23400196</t>
  </si>
  <si>
    <t>SF-00376</t>
  </si>
  <si>
    <t>Tampa p/ conector /RJ45. ref.: Schneider Electric PRM47761 (Padrão Keystone), Schneider Electric PRM47771 (Padrão AMP)</t>
  </si>
  <si>
    <t>Módulo RJ 45 - CAT 6. Ref.: AMP 1375055-2, Furukawa 35030621</t>
  </si>
  <si>
    <t>Certificação de ponto de rede</t>
  </si>
  <si>
    <t>SF-00377</t>
  </si>
  <si>
    <t>Painel de distribuição (patch panel) de 24 portas, categoria 6. Ref.: AMP 1375014-2</t>
  </si>
  <si>
    <t>SF-00378</t>
  </si>
  <si>
    <t>CABO TELEFONICO CCI 50, 2 PARES, USO INTERNO, SEM BLINDAGEM</t>
  </si>
  <si>
    <t>SF-00379</t>
  </si>
  <si>
    <t>Tampa p/ conector /RJ45. ref.: Schneider Electric PRM47761 (padrão Keystone), Schneider Electric PRM47771 (padrão AMP)</t>
  </si>
  <si>
    <t>Tomada RJ45, 8 fios, CAT 5E (apenas modulo)</t>
  </si>
  <si>
    <t>SF-00380</t>
  </si>
  <si>
    <t>Grelha para retorno para portas, divisórias e paredes 525x325 mm, Ref. Trox AGS-T</t>
  </si>
  <si>
    <t>SF-00408</t>
  </si>
  <si>
    <t>CJ</t>
  </si>
  <si>
    <t>SF-00467</t>
  </si>
  <si>
    <t>ESPUMA EXPANSIVA DE POLIURETANO, APLICACAO MANUAL - 500 ML</t>
  </si>
  <si>
    <t>SF-00563</t>
  </si>
  <si>
    <t>ARGAMASSA PRONTA PARA CONTRAPISO</t>
  </si>
  <si>
    <t>SF-00564</t>
  </si>
  <si>
    <t>ARGAMASSA INDUSTRIALIZADA MULTIUSO, PARA REVESTIMENTO INTERNO E EXTERNO E ASSENTAMENTO DE BLOCOS DIVERSOS</t>
  </si>
  <si>
    <t>SF-00565</t>
  </si>
  <si>
    <t>CIMENTO PORTLAND COMPOSTO CP II-32</t>
  </si>
  <si>
    <t>SF-00566</t>
  </si>
  <si>
    <t>SF-00567</t>
  </si>
  <si>
    <t>SF-00568</t>
  </si>
  <si>
    <t>AREIA MEDIA - POSTO JAZIDA/FORNECEDOR (RETIRADO NA JAZIDA, SEM TRANSPORTE)</t>
  </si>
  <si>
    <t>TRANSPORTE COM CAMINHÃO BASCULANTE DE 6 M3, EM VIA URBANA PAVIMENTADA, DMT ATÉ 30 KM (UNIDADE: TxKM). AF_01/2018</t>
  </si>
  <si>
    <t>TxKM</t>
  </si>
  <si>
    <t>Obs.: Considerando fornecedor de areia a 20 km do Senado Federal.</t>
  </si>
  <si>
    <t>SF-00569</t>
  </si>
  <si>
    <t>PEDRA BRITADA N. 0, OU PEDRISCO (4,8 A 9,5 MM) POSTO PEDREIRA/FORNECEDOR, SEM FRETE</t>
  </si>
  <si>
    <t>Obs.: Considerando fornecedor de brita a 20 km do Senado Federal.</t>
  </si>
  <si>
    <t>SF-00570</t>
  </si>
  <si>
    <t>PEDRA BRITADA N. 1 (9,5 a 19 MM) POSTO PEDREIRA/FORNECEDOR, SEM FRETE</t>
  </si>
  <si>
    <t>SF-00571</t>
  </si>
  <si>
    <t>SF-00572</t>
  </si>
  <si>
    <t>SF-00573</t>
  </si>
  <si>
    <t>SF-00574</t>
  </si>
  <si>
    <t>SF-00575</t>
  </si>
  <si>
    <t>SF-00576</t>
  </si>
  <si>
    <t>ACO CA-50, 6,3 MM, VERGALHAO</t>
  </si>
  <si>
    <t>SF-00577</t>
  </si>
  <si>
    <t>ACO CA-50, 8,0 MM, VERGALHAO</t>
  </si>
  <si>
    <t>SF-00578</t>
  </si>
  <si>
    <t>ACO CA-50, 10,0 MM, VERGALHAO</t>
  </si>
  <si>
    <t>SF-00579</t>
  </si>
  <si>
    <t>ACO CA-50, 12,5 MM OU 16,0 MM, VERGALHAO</t>
  </si>
  <si>
    <t>SF-00580</t>
  </si>
  <si>
    <t>SF-00581</t>
  </si>
  <si>
    <t>ADESIVO ESTRUTURAL A BASE DE RESINA EPOXI, BICOMPONENTE, PASTOSO (TIXOTROPICO)</t>
  </si>
  <si>
    <t>SF-00588</t>
  </si>
  <si>
    <t>ADITIVO IMPERMEABILIZANTE DE PEGA NORMAL PARA ARGAMASSAS E CONCRETOS SEM ARMACAO, LIQUIDO E ISENTO DE CLORETOS</t>
  </si>
  <si>
    <t>SF-00708</t>
  </si>
  <si>
    <t>ENGENHEIRO CIVIL DE OBRA PLENO COM ENCARGOS COMPLEMENTARES</t>
  </si>
  <si>
    <t>Obs: considerando 220h/mês e encargos sociais indicados na tabela do SINAPI.</t>
  </si>
  <si>
    <t>SF-00709</t>
  </si>
  <si>
    <t>ALMOXARIFE COM ENCARGOS COMPLEMENTARES</t>
  </si>
  <si>
    <t>SF-00710</t>
  </si>
  <si>
    <t>SF-00711</t>
  </si>
  <si>
    <t>AJUDANTE DE CARPINTEIRO COM ENCARGOS COMPLEMENTARES</t>
  </si>
  <si>
    <t>SF-00712</t>
  </si>
  <si>
    <t>AUXILIAR DE SERRALHEIRO COM ENCARGOS COMPLEMENTARES</t>
  </si>
  <si>
    <t>SF-00713</t>
  </si>
  <si>
    <t>SF-00714</t>
  </si>
  <si>
    <t>SF-00715</t>
  </si>
  <si>
    <t>SF-00716</t>
  </si>
  <si>
    <t>SF-00717</t>
  </si>
  <si>
    <t>SF-00844</t>
  </si>
  <si>
    <t>Kg</t>
  </si>
  <si>
    <t>SF-00845</t>
  </si>
  <si>
    <t>VIDRO LISO INCOLOR 5MM - SEM COLOCACAO</t>
  </si>
  <si>
    <t>SF-00846</t>
  </si>
  <si>
    <t>VIDRO TEMPERADO INCOLOR E = 8 MM, SEM COLOCACAO</t>
  </si>
  <si>
    <t>SF-00849</t>
  </si>
  <si>
    <t>VIDRO TEMPERADO INCOLOR E = 10 MM, SEM COLOCACAO</t>
  </si>
  <si>
    <t>SF-00850</t>
  </si>
  <si>
    <t>Bucha para pivô de dobradiça para vidro temperado. Ref.: Santa Marina/1201; Belga Metais / 9201</t>
  </si>
  <si>
    <t>SF-00851</t>
  </si>
  <si>
    <t>Suporte para bandeira de vidro temperado, com ponto de giro para dobradiça. Ref.: Santa Marina / 1203; Belga Metais / 9203</t>
  </si>
  <si>
    <t>SF-00852</t>
  </si>
  <si>
    <t>Suporte de canto, simples, para vidro temperado. Ref.: Santa Marina/1302; Belga Metais/9302</t>
  </si>
  <si>
    <t>SF-00853</t>
  </si>
  <si>
    <t>Suporte de união em "L" em latão fundido, sem batedor, para dois ou três vidros temperados de 10 mm. Ref.: Santa Marina/1310; Belga Metais/9310</t>
  </si>
  <si>
    <t>OBS: Para o preço unitário do insumo, considerou-se 85% do preço da peça tipo 1308 da tabela TCPO/Pini, percentual esse verificado mediante pesquisa de mercado.</t>
  </si>
  <si>
    <t>SF-00854</t>
  </si>
  <si>
    <t>Botão de correção fosco acetinado com parafuso. Ref.: Santa Marina/1002</t>
  </si>
  <si>
    <t>SF-00855</t>
  </si>
  <si>
    <t>Fechadura bico-de-papagaio, com furo, para porta de correr em vidro temperado 10 mm. Ref.: Santa Marina / 3530; Belga Metais / 9510-F</t>
  </si>
  <si>
    <t>SF-00856</t>
  </si>
  <si>
    <t>Fechadura bico-de-papagaio, com furo, para aplicação em janela de correr em vidro temperado 10 mm. Ref.: Santa Marina/3532; Belga Metais/9510-JF</t>
  </si>
  <si>
    <t>SF-00857</t>
  </si>
  <si>
    <t>Fechadura para aplicação em porta de abrirem vidro temperado 10 mm. Ref.: Santa Marina/1520; Belga Metais/9520</t>
  </si>
  <si>
    <t>SF-00858</t>
  </si>
  <si>
    <t>Contra fechadura, para alvenaria, para porta com fechadura 1520/952, aplicada em alvenaria junto a porta de abrirem vidro temperado 10 mm. Ref.: TQ Ferragens/1504; Santa Marina/1504; Belga Metais/1504</t>
  </si>
  <si>
    <t>SF-00859</t>
  </si>
  <si>
    <t>Contra fechadura de pressão para porta de vidro temperado de 10 mm, usada com fechaduras de referência 1520SE / 9520PRD / 9520PRE. Ref.: Santa Marina/1504S; Belga Metais 9504S</t>
  </si>
  <si>
    <t>SF-00860</t>
  </si>
  <si>
    <t>Contra fechadura, com furo, para porta de correr com furo em vidro temperado 10 mm, usada com fechaduras de referência 3530/9510-F. Ref.: Santa Marina/3534; Belga Metais/9511-F</t>
  </si>
  <si>
    <t>SF-00861</t>
  </si>
  <si>
    <t>Trinco inferior, com miolo, em latão fundido cromado, para porta de vidro temperado 10 mm. Ref.: Santa Marina/1502; Belga Metais/9502</t>
  </si>
  <si>
    <t>SF-00862</t>
  </si>
  <si>
    <t>SF-00863</t>
  </si>
  <si>
    <t>Puxador para porta de vidro temperado redondo duplo em resina poliéster incolor com aditivo anti-UV com 110-135 mm de diâmetro. Ref.: 1608 e 1609, Poliforma Alumínios e Ferragens; 1613, Aço Metais</t>
  </si>
  <si>
    <t>SF-00864</t>
  </si>
  <si>
    <t>Puxador para porta de vidro temperado em aço inox, sob medida, tipo A</t>
  </si>
  <si>
    <t>SF-00865</t>
  </si>
  <si>
    <t>Dobradiça superior para porta de vidro temperado, em latão fundido cromado. Ref.: Santa Marina / 1101 ou Belga Metais / 9101</t>
  </si>
  <si>
    <t>SF-00866</t>
  </si>
  <si>
    <t>PERFIL DE ALUMINIO ANODIZADO</t>
  </si>
  <si>
    <t>Obs: Perfil em alumínio anodizado, tipo U - abas iguais - PU 5/8" x 5/8" – espessura 1,58mm</t>
  </si>
  <si>
    <t>Fonte do coeficiente: http://www.estreladosmetais.com.br/pag_metal_aluminio_perfil_u_igual.php</t>
  </si>
  <si>
    <t>SF-00867</t>
  </si>
  <si>
    <t>Obs: Trilho superior em alumínio anodizado 60mm x 49,5mm, para vidro temperado. Ref.: AL-0051</t>
  </si>
  <si>
    <t>Fonte do coeficiente: http://www.ferragensdbf.com.br/produtos-aluminio.html</t>
  </si>
  <si>
    <t>SF-00868</t>
  </si>
  <si>
    <t>Obs: Perfil guia inferior de alumínio anodizado 39,3 mm x 24 mm para vidro temperado 10mm. Ref.: Perfil Guia Inferior AL-0005</t>
  </si>
  <si>
    <t>SF-00869</t>
  </si>
  <si>
    <t>SF-00870</t>
  </si>
  <si>
    <t>Obs: Perfil Guia Inferior “Click” de alumínio anodizado. Ref.: Perfil AL-0013</t>
  </si>
  <si>
    <t>SF-00871</t>
  </si>
  <si>
    <t>Dobradiça inferior para porta de vidro temperado, em latão fundido cromado. Ref.: Santa Marina / 1103; Belga Metais / 9103</t>
  </si>
  <si>
    <t>SF-00872</t>
  </si>
  <si>
    <t>Escova de vedação para aplicação em janela ou porta de vidro temperado, autocolante ou de encaixe, na cor preta, branca ou cinza alumínio, entre 5mm e 7mm de base. Ref.: 290-1 (vidromax) 5x5 preto; Seal; VBrasil; Aluinter</t>
  </si>
  <si>
    <t>SF-00873</t>
  </si>
  <si>
    <t>Roldana simples em nylon para porta ou janela de correr de vidro temperado. Ref.: Santa Marina/1125N; Belga Metais/9125</t>
  </si>
  <si>
    <t>SF-00874</t>
  </si>
  <si>
    <t>Roldana dupla em nylon para porta ou janela de correr de vidro temperado. Ref.: Santa Marina/1125N; Belga Metais/9125</t>
  </si>
  <si>
    <t>SF-00875</t>
  </si>
  <si>
    <t>Capuchinho para trinco para vidro temperado, com furo de 8 ou 10 mm, em latão fundido. Ref.: Santa Marina/1037; Santa Marina/1038; Belga Metais/9038</t>
  </si>
  <si>
    <t>SF-00876</t>
  </si>
  <si>
    <t>Facão simples para lateral e bandeira de vidro temperado 10 mm, com ponto de giro para dobradiça superior, em latão fundido cromado. Ref.: Santa Marina/1209; Belga Metais/9209</t>
  </si>
  <si>
    <t>SF-00877</t>
  </si>
  <si>
    <t>Fechadura de pressão para porta de abrir em vidro temperado 10 mm. Ref.: Belga  Metais/9520-PRD (lado direito); Santa Marina/1520SE; Belga Metais/9520-PRE (lado esquerdo)</t>
  </si>
  <si>
    <t>SF-00878</t>
  </si>
  <si>
    <t>Suporte de união, com miolo, para vidro temperado de 10 mm, em latão fundido cromado. Ref.: Santa Marina/1306; Belga Metais/9306</t>
  </si>
  <si>
    <t>SF-00879</t>
  </si>
  <si>
    <t>Suporte para basculante e pivotante de vidro temperado 10 mm, em latão fundido cromado. Ref.: Santa Marina/1230; Belga Metais/9230</t>
  </si>
  <si>
    <t>SF-00880</t>
  </si>
  <si>
    <t>Trinco central para basculante em vidro temperado 10 mm, em latão fundido cromado. Ref.: Santa Marina/1523; Belga Metais/9523</t>
  </si>
  <si>
    <t>SF-00881</t>
  </si>
  <si>
    <t>SF-00883</t>
  </si>
  <si>
    <t>Dobradiça automática para Box de vidro temperado. Ref.: Belga Metais/9114 e Belga Metais/9115</t>
  </si>
  <si>
    <t>SF-00884</t>
  </si>
  <si>
    <t>Dobradiça horizontal, com trinco central, para janela tipo basculante de vidro temperado com 8mm ou 10mm de espessura. Ref.: Belga Metais/9123-A</t>
  </si>
  <si>
    <t>SF-00885</t>
  </si>
  <si>
    <t>Dobradiça horizontal, sem trinco, para janela tipo basculante de vidro temperado com 8mm ou 10mm de espessura. Ref.: Belga Metais/9123</t>
  </si>
  <si>
    <t>SF-00886</t>
  </si>
  <si>
    <t>Fechadura elétrica para porta de vidro temperado com 8mm ou 10mm de espessura, acabamento cromado. Ref.: Fechadura Modelo FV35ICR / FV35ECRA / FV32ICR / FV32IPR / FV32ICRA / FV32ECRA, fabricante Amelco</t>
  </si>
  <si>
    <t>SF-00887</t>
  </si>
  <si>
    <t>Porteiro eletrônico residencial. Ref.: Amelco AM-m²00</t>
  </si>
  <si>
    <t>SF-00888</t>
  </si>
  <si>
    <t>Acionador de fechadura elétrica para porta de vidro temperado com 01 acionador fixo. Ref.; Amelco AF62UP</t>
  </si>
  <si>
    <t>SF-00889</t>
  </si>
  <si>
    <t>Mini chapinha para trinco de janela basculante em vidro temperado 8 ou 10 mm, em latão fundido cromado. Ref.: Belga Metais/9801-M</t>
  </si>
  <si>
    <t>SF-00890</t>
  </si>
  <si>
    <t>Puxador de latão polido - diâmetro 25mm, para portas e janelas de vidro temperado. Ref.: Belga Metais/9629</t>
  </si>
  <si>
    <t>SF-00891</t>
  </si>
  <si>
    <t>Trinco sem miolo, para vidro temperado 8mm ou 10 mm, funcionando como suporte inferior de centro, em latão fundido cromado. Ref.: Belga Metais/9335</t>
  </si>
  <si>
    <t>SF-00892</t>
  </si>
  <si>
    <t>Obs: Tubo de alumínio quadrado 50x50, para fixação de painéis em vidro temperado de 8mm ou 10 mm</t>
  </si>
  <si>
    <t>SF-00893</t>
  </si>
  <si>
    <t>Veda fresta adesivo “E” em PVC branco, elemento vedante adesivo para portas e janelas</t>
  </si>
  <si>
    <t>SF-00894</t>
  </si>
  <si>
    <t>Obs: Vedapress 10mm, elemento vedante para portas e janelas de vidro temperado de 8mm ou 10 mm. Ref.: AL-15 - Poliformas alumínio e ferragens</t>
  </si>
  <si>
    <t>Fonte do coeficiente: http://www.alumipremium.com/produto/al15</t>
  </si>
  <si>
    <t>SF-00895</t>
  </si>
  <si>
    <t>SF-00896</t>
  </si>
  <si>
    <t>Vidro fumê/bronze temperado 10mm</t>
  </si>
  <si>
    <t>SF-00897</t>
  </si>
  <si>
    <t>Puxador para porta de vidro temperado em aço inox, sob medida, tipo B</t>
  </si>
  <si>
    <t>SF-00898</t>
  </si>
  <si>
    <t>KG</t>
  </si>
  <si>
    <t>ESPACADOR / DISTANCIADOR CIRCULAR COM ENTRADA LATERAL, EM PLASTICO, PARA VERGALHAO *4,2 A 12,5* MM, COBRIMENTO 20 MM</t>
  </si>
  <si>
    <t>AJUDANTE DE ARMADOR COM ENCARGOS COMPLEMENTARES</t>
  </si>
  <si>
    <t>ARMADOR COM ENCARGOS COMPLEMENTARES</t>
  </si>
  <si>
    <t>CORTE E DOBRA DE AÇO CA-50, DIÂMETRO DE 8,0 MM, UTILIZADO EM ESTRUTURAS DIVERSAS, EXCETO LAJES. AF_12/2015</t>
  </si>
  <si>
    <t>SF-00899</t>
  </si>
  <si>
    <t>Pivô para dobradiça inferior (montagem com a 1103- TQ) para porta em vidro temperado</t>
  </si>
  <si>
    <t>SF-00900</t>
  </si>
  <si>
    <t>Dobradiça direita inferior excêntrica para porta pivotante em vidro temperado, dimensões máximas recomendadas 1000 x 2100 mm ou 900 x 2400 mm</t>
  </si>
  <si>
    <t>SF-00901</t>
  </si>
  <si>
    <t>Dobradiça esquerda inferior excêntrica para porta pivotante em vidro temperado, dimensões máximas recomendadas 1000 x 2100 mm ou 900 x 2400 mm</t>
  </si>
  <si>
    <t>SF-00902</t>
  </si>
  <si>
    <t>Dobradiça pivotante inferior com trinco, em alumínio, para porta em vidro temperado, dimensões máximas recomendadas 900 x 2200 mm</t>
  </si>
  <si>
    <t>SF-00903</t>
  </si>
  <si>
    <t>Carrinho para porta de correr em vidro temperado até 20kg 1 roldana e 2 furos. Ref.: Vidromax 1122-S</t>
  </si>
  <si>
    <t>SF-00904</t>
  </si>
  <si>
    <t>Carrinho para porta de correr em vidro temperado até 80kg 2 roldanas e 2 furos. Ref.: Vidromax 1122</t>
  </si>
  <si>
    <t>SF-00905</t>
  </si>
  <si>
    <t>Carrinho para porta de correr em vidro temperado com roldana côncava, dimensões máximas recomendadas 600 x 1800 mm</t>
  </si>
  <si>
    <t>SF-00906</t>
  </si>
  <si>
    <t>Guia de nylon para porta de correr em vidro temperado</t>
  </si>
  <si>
    <t>SF-00907</t>
  </si>
  <si>
    <t>Puxador H tubular em aço inox AISI304, com porcas tipo castelo, comprimento 45cm, entre furos de 30cm,  diâmetro 1.1/4",  chapa #16, acabamento escovado. Ref.: PX-RD, Poliforma Alumínio e Ferragens</t>
  </si>
  <si>
    <t>SF-00908</t>
  </si>
  <si>
    <t>SF-00909</t>
  </si>
  <si>
    <t>VIDRO MARTELADO OU CANELADO, 4 MM - SEM COLOCACAO</t>
  </si>
  <si>
    <t>SF-00910</t>
  </si>
  <si>
    <t>VIDRO LISO FUME, E = 5 MM - SEM COLOCACAO</t>
  </si>
  <si>
    <t>SF-00911</t>
  </si>
  <si>
    <t>SF-00912</t>
  </si>
  <si>
    <t>PARAFUSO FRANCES M16 EM ACO GALVANIZADO, COMPRIMENTO = 45 MM, DIAMETRO = 16 MM, CABECA ABAULADA</t>
  </si>
  <si>
    <t>SF-00913</t>
  </si>
  <si>
    <t>Espelho fumê/bronze 4mm lapidado</t>
  </si>
  <si>
    <t>SF-00914</t>
  </si>
  <si>
    <t>SF-00915</t>
  </si>
  <si>
    <t>GRAUTE CIMENTICIO PARA USO GERAL</t>
  </si>
  <si>
    <t>SF-00916</t>
  </si>
  <si>
    <t>CORTE E DOBRA DE AÇO CA-50, DIÂMETRO DE 12,5 MM, UTILIZADO EM ESTRUTURAS DIVERSAS, EXCETO LAJES. AF_12/2015</t>
  </si>
  <si>
    <t>SF-00917</t>
  </si>
  <si>
    <t>CORTE E DOBRA DE AÇO CA-50, DIÂMETRO DE 20,0 MM, UTILIZADO EM ESTRUTURAS DIVERSAS, EXCETO LAJES. AF_12/2015</t>
  </si>
  <si>
    <t>SF-00918</t>
  </si>
  <si>
    <t>SF-00919</t>
  </si>
  <si>
    <t>SF-00920</t>
  </si>
  <si>
    <t>COMPACTADOR DE SOLOS DE PERCUSSÃO (SOQUETE) COM MOTOR A GASOLINA 4 TEMPOS, POTÊNCIA 4 CV - CHP DIURNO. AF_08/2015</t>
  </si>
  <si>
    <t>CHP</t>
  </si>
  <si>
    <t>COMPACTADOR DE SOLOS DE PERCUSSÃO (SOQUETE) COM MOTOR A GASOLINA 4 TEMPOS, POTÊNCIA 4 CV - CHI DIURNO. AF_08/2015</t>
  </si>
  <si>
    <t>CHI</t>
  </si>
  <si>
    <t>UMIDIFICAÇÃO DE MATERIAL PARA VALAS COM CAMINHÃO PIPA 10000L. AF_11/2016</t>
  </si>
  <si>
    <t>SF-00921</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</si>
  <si>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</si>
  <si>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</si>
  <si>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ARGILA, ARGILA VERMELHA OU ARGILA ARENOSA (RETIRADA NA JAZIDA, SEM TRANSPORTE)</t>
  </si>
  <si>
    <t>Obs.: Considerando fornecedor de argila a 20 km do Senado Federal.</t>
  </si>
  <si>
    <t>SF-00922</t>
  </si>
  <si>
    <t>TUBO DE COBRE CLASSE "E", DN = 22 MM, PARA INSTALACAO HIDRAULICA PREDIAL</t>
  </si>
  <si>
    <t>AUXILIAR DE ENCANADOR OU BOMBEIRO HIDRÁULICO COM ENCARGOS COMPLEMENTARES</t>
  </si>
  <si>
    <t>ENCANADOR OU BOMBEIRO HIDRÁULICO COM ENCARGOS COMPLEMENTARES</t>
  </si>
  <si>
    <t>SF-00923</t>
  </si>
  <si>
    <t>TUBO DE COBRE CLASSE "E", DN = 28 MM, PARA INSTALACAO HIDRAULICA PREDIAL</t>
  </si>
  <si>
    <t>SF-00924</t>
  </si>
  <si>
    <t>TUBO DE COBRE CLASSE "E", DN = 42 MM, PARA INSTALACAO HIDRAULICA PREDIAL</t>
  </si>
  <si>
    <t>SF-00925</t>
  </si>
  <si>
    <t>PARAFUSO NIQUELADO COM ACABAMENTO CROMADO PARA FIXAR PECA SANITARIA, INCLUI PORCA CEGA, ARRUELA E BUCHA DE NYLON TAMANHO S-10</t>
  </si>
  <si>
    <t>VEDACAO PVC, 100 MM, PARA SAIDA VASO SANITARIO</t>
  </si>
  <si>
    <t>BACIA SANITARIA (VASO) CONVENCIONAL PARA PCD SEM FURO FRONTAL, DE LOUCA BRANCA, SEM ASSENTO</t>
  </si>
  <si>
    <t>SF-00926</t>
  </si>
  <si>
    <t>Assento poliéster, mod.: Vogue plus, cor branca, com fixação cromada. AP.51 ref: DECA ou equivalente</t>
  </si>
  <si>
    <t>Servente Com Encargos Complementares</t>
  </si>
  <si>
    <t>SF-00927</t>
  </si>
  <si>
    <t>Registro gaveta em liga de cobre, bitola 1 1/2" mod:1502.B.112 ref: DECA ou equivalente</t>
  </si>
  <si>
    <t>SF-00928</t>
  </si>
  <si>
    <t>Cabo flexível isolado em EPR não halogenado 25 mm² 0,6 a 1 kV</t>
  </si>
  <si>
    <t>SF-00929</t>
  </si>
  <si>
    <t>Cabo flexível isolado em EPR não halogenado 35 mm² 0,6 a 1 kV</t>
  </si>
  <si>
    <t>SF-00930</t>
  </si>
  <si>
    <t>Cabo flexível isolado em EPR não halogenado 50 mm² 0,6 a 1 kV</t>
  </si>
  <si>
    <t>SF-00931</t>
  </si>
  <si>
    <t>Cabo flexível isolado em EPR não halogenado 70 mm² 0,6 a 1 kV</t>
  </si>
  <si>
    <t>SF-00932</t>
  </si>
  <si>
    <t>Cabo flexível isolado em EPR não halogenado 95 mm² 0,6 a 1 kV</t>
  </si>
  <si>
    <t>SF-00933</t>
  </si>
  <si>
    <t>Cabo flexível isolado em EPR não halogenado 120 mm² 0,6 a 1 kV</t>
  </si>
  <si>
    <t>SF-00934</t>
  </si>
  <si>
    <t>Cabo flexível isolado em EPR não halogenado 150 mm² 0,6 a 1 kV</t>
  </si>
  <si>
    <t>SF-00935</t>
  </si>
  <si>
    <t>Cabo flexível isolado em EPR não halogenado 185 mm² 0,6 a 1 kV</t>
  </si>
  <si>
    <t>SF-00936</t>
  </si>
  <si>
    <t>Cabo flexível isolado em EPR não halogenado 240 mm² 0,6 a 1 kV</t>
  </si>
  <si>
    <t>SF-00937</t>
  </si>
  <si>
    <t>MONTADOR DE ESTRUTURA METÁLICA COM ENCARGOS COMPLEMENTARES</t>
  </si>
  <si>
    <t>TRANSPORTE HORIZONTAL MANUAL, DE TUBO DE AÇO CARBONO LEVE OU MÉDIO, PRETO OU GALVANIZADO, COM DIÂMETRO MAIOR QUE 32 MM E MENOR OU IGUAL A 65 MM (UNIDADE: MXKM). AF_07/2019</t>
  </si>
  <si>
    <t>MXKM</t>
  </si>
  <si>
    <t>SF-00938</t>
  </si>
  <si>
    <t>SF-00940</t>
  </si>
  <si>
    <t>ABRACADEIRA DE NYLON PARA AMARRACAO DE CABOS, COMPRIMENTO DE 200 X *4,6* MM</t>
  </si>
  <si>
    <t>TELA FACHADEIRA EM POLIETILENO, ROLO DE 3 X 100 M (L X C), COR BRANCA, SEM LOGOMARCA - PARA PROTECAO DE OBRAS</t>
  </si>
  <si>
    <t>M2</t>
  </si>
  <si>
    <t>CARPINTEIRO DE FORMAS COM ENCARGOS COMPLEMENTARES</t>
  </si>
  <si>
    <t>Obs.: Considerou-se aproveitamento de 3x para a tela, já que trata-se de locação.</t>
  </si>
  <si>
    <t>SF-00942</t>
  </si>
  <si>
    <t>SF-00943</t>
  </si>
  <si>
    <t>Registro de gaveta em liga de cobre, bitola 1" mod: 4509.302 ref: DECA ou equivalente</t>
  </si>
  <si>
    <t>SF-00944</t>
  </si>
  <si>
    <t>Registro de pressão em liga de cobre, bitola 3/4" mod: 4416.202 ref: DECA ou equivalente</t>
  </si>
  <si>
    <t>SF-00946</t>
  </si>
  <si>
    <t>TAMPAO FOFO ARTICULADO P/ REGISTRO, CLASSE A15 CARGA MAXIMA 1,5 T, *400 X 400* MM</t>
  </si>
  <si>
    <t>ARGAMASSA TRAÇO 1:4 (EM VOLUME DE CIMENTO E AREIA GROSSA ÚMIDA) PARA CHAPISCO CONVENCIONAL, PREPARO MECÂNICO COM BETONEIRA 400 L. AF_08/2019</t>
  </si>
  <si>
    <t>SF-00947</t>
  </si>
  <si>
    <t>Arquiteto de obra pleno com encargos complementares</t>
  </si>
  <si>
    <t>SF-00948</t>
  </si>
  <si>
    <t>LOCACAO DE ANDAIME SUSPENSO OU BALANCIM MANUAL, CAPACIDADE DE CARGA TOTAL DE APROXIMADAMENTE 250 KG/M2, PLATAFORMA DE 1,50 M X 0,80 M (C X L), CABO DE 45 M</t>
  </si>
  <si>
    <t>SF-00950</t>
  </si>
  <si>
    <t>LAVADORA DE ALTA PRESSAO (LAVA-JATO) PARA AGUA FRIA, PRESSAO DE OPERACAO ENTRE 1400 E 1900 LIB/POL2, VAZAO MAXIMA ENTRE 400 E 700 L/H - CHP DIURNO. AF_04/2019</t>
  </si>
  <si>
    <t>SF-00951</t>
  </si>
  <si>
    <t>SF-00952</t>
  </si>
  <si>
    <t>SF-00953</t>
  </si>
  <si>
    <t>MANTA LIQUIDA DE BASE ASFALTICA MODIFICADA COM A ADICAO DE ELASTOMEROS DILUIDOS EM SOLVENTE ORGANICO, APLICACAO A FRIO (MEMBRANA IMPERMEABILIZANTE ASFASTICA)</t>
  </si>
  <si>
    <t>Ajudante Especializado Com Encargos Complementares</t>
  </si>
  <si>
    <t>IMPERMEABILIZADOR COM ENCARGOS COMPLEMENTARES</t>
  </si>
  <si>
    <t>SF-00954</t>
  </si>
  <si>
    <t>CAMADA SEPARADORA DE FILME DE POLIETILENO 20 A 25 MICRA</t>
  </si>
  <si>
    <t>ARGAMASSA TRAÇO 1:3 (EM VOLUME DE CIMENTO E AREIA MÉDIA ÚMIDA) PARA CONTRAPISO, PREPARO MANUAL. AF_08/2019</t>
  </si>
  <si>
    <t>SF-00955</t>
  </si>
  <si>
    <t>TELA DE ARAME GALVANIZADA, HEXAGONAL, FIO 0,56 MM (24 BWG), MALHA 1/2", H = 1 M</t>
  </si>
  <si>
    <t>SF-00956</t>
  </si>
  <si>
    <t>SF-00957</t>
  </si>
  <si>
    <t>SF-00958</t>
  </si>
  <si>
    <t>Papel kraft betumado</t>
  </si>
  <si>
    <t>SF-00959</t>
  </si>
  <si>
    <t>SF-00960</t>
  </si>
  <si>
    <t>SF-00961</t>
  </si>
  <si>
    <t>Broca com ponta de widia Ø 3/8" x 160 mm</t>
  </si>
  <si>
    <t>Furadeira de impacto elétrica - 0,65 kW, Ø mandril 5/8"</t>
  </si>
  <si>
    <t>h prod</t>
  </si>
  <si>
    <t>GRAUTE FGK=25 MPA; TRAÇO 1:0,02:1,2:1,5 (CIMENTO/ CAL/ AREIA GROSSA/ BRITA 0) - PREPARO MECÂNICO COM BETONEIRA 400 L. AF_02/2015</t>
  </si>
  <si>
    <r>
      <rPr>
        <b/>
        <sz val="10"/>
        <rFont val="Arial"/>
        <family val="2"/>
      </rPr>
      <t>Fontes:</t>
    </r>
    <r>
      <rPr>
        <sz val="10"/>
        <rFont val="Arial"/>
        <family val="2"/>
      </rPr>
      <t xml:space="preserve"> PINI 05.102.000020.SER</t>
    </r>
  </si>
  <si>
    <t>SF-00962</t>
  </si>
  <si>
    <t>Insert metálico tipo 2, conforme projeto</t>
  </si>
  <si>
    <t>SF-00964</t>
  </si>
  <si>
    <t>Mármore branco especial 20mm</t>
  </si>
  <si>
    <t>SF-00965</t>
  </si>
  <si>
    <t>PARAFUSO DE ACO TIPO CHUMBADOR PARABOLT, DIAMETRO 3/8", COMPRIMENTO 75 MM</t>
  </si>
  <si>
    <t>Insert metálico tipo 1, conforme projeto</t>
  </si>
  <si>
    <r>
      <rPr>
        <b/>
        <sz val="10"/>
        <rFont val="Arial"/>
        <family val="2"/>
      </rPr>
      <t>Fontes:</t>
    </r>
    <r>
      <rPr>
        <sz val="10"/>
        <rFont val="Arial"/>
        <family val="2"/>
      </rPr>
      <t xml:space="preserve"> ORSE 03735, PINI 05.102.000020.SER e 05.108.000450.SER</t>
    </r>
  </si>
  <si>
    <r>
      <rPr>
        <b/>
        <sz val="10"/>
        <rFont val="Arial"/>
        <family val="2"/>
      </rPr>
      <t>Observações:</t>
    </r>
    <r>
      <rPr>
        <sz val="10"/>
        <rFont val="Arial"/>
        <family val="2"/>
      </rPr>
      <t xml:space="preserve"> Considerando uma placa de 0,40 m x 0,80 m, que, conforme projeto, necessita de 2 inserts.</t>
    </r>
  </si>
  <si>
    <t>SF-00966</t>
  </si>
  <si>
    <t>Mármore branco especial 30mm</t>
  </si>
  <si>
    <t>SF-00967</t>
  </si>
  <si>
    <t>SF-00968</t>
  </si>
  <si>
    <r>
      <rPr>
        <b/>
        <sz val="10"/>
        <rFont val="Arial"/>
        <family val="2"/>
      </rPr>
      <t>Fontes:</t>
    </r>
    <r>
      <rPr>
        <sz val="10"/>
        <rFont val="Arial"/>
        <family val="2"/>
      </rPr>
      <t xml:space="preserve"> PINI 05.102.000020.SER e 05.108.000450.SER</t>
    </r>
  </si>
  <si>
    <t>SF-00970</t>
  </si>
  <si>
    <t>SF-00971</t>
  </si>
  <si>
    <t>SF-00972</t>
  </si>
  <si>
    <t>Ajudante de pintor com Encargos Complementares</t>
  </si>
  <si>
    <t>Hidrofugante à base de silano e silicone</t>
  </si>
  <si>
    <t>SF-00973</t>
  </si>
  <si>
    <t>Cantoneira em alumínio abas iguais 1" x 1/8" com pintura eletrostática branca</t>
  </si>
  <si>
    <t>SF-00974</t>
  </si>
  <si>
    <t>Granito Amarelo Capri para rodapé</t>
  </si>
  <si>
    <t>SF-00975</t>
  </si>
  <si>
    <t>Lixadeira angular manual elétrica Ø 7" 2200 W 6600 rpm</t>
  </si>
  <si>
    <t>loc/un/dia</t>
  </si>
  <si>
    <t>Ponta montada A2 haste 1/4"</t>
  </si>
  <si>
    <t>SF-00976</t>
  </si>
  <si>
    <t>SF-00977</t>
  </si>
  <si>
    <t>Primer de secagem rápida e alto poder de aderência ao concreto</t>
  </si>
  <si>
    <t>Corpo de apoio em polietileno para aplicação de mástiques em juntas</t>
  </si>
  <si>
    <t>SELANTE ELASTICO MONOCOMPONENTE A BASE DE POLIURETANO (PU) PARA JUNTAS DIVERSAS</t>
  </si>
  <si>
    <t>310ml</t>
  </si>
  <si>
    <t>SF-00978</t>
  </si>
  <si>
    <t>SF-00980</t>
  </si>
  <si>
    <t>CHUVEIRO COMUM EM PLASTICO BRANCO, COM CANO, 3 TEMPERATURAS, 5500 W (110/220 V)</t>
  </si>
  <si>
    <t>FITA VEDA ROSCA EM ROLOS DE 18 MM X 10 M (L X C)</t>
  </si>
  <si>
    <t>SF-00981</t>
  </si>
  <si>
    <t>CONCRETO MAGRO PARA LASTRO, TRAÇO 1:4,5:4,5 (CIMENTO/ AREIA MÉDIA/ BRITA 1)  - PREPARO MECÂNICO COM BETONEIRA 600 L. AF_07/2016</t>
  </si>
  <si>
    <t>SF-00982</t>
  </si>
  <si>
    <t>TELA DE ACO SOLDADA NERVURADA, CA-60, Q-196, (3,11 KG/M2), DIAMETRO DO FIO = 5,0 MM, LARGURA = 2,45 M, ESPACAMENTO DA MALHA = 10 X 10 CM</t>
  </si>
  <si>
    <t>CONCRETO FCK = 20MPA, TRAÇO 1:2,7:3 (CIMENTO/ AREIA MÉDIA/ BRITA 1)  - PREPARO MECÂNICO COM BETONEIRA 600 L. AF_07/2016</t>
  </si>
  <si>
    <t>310ML</t>
  </si>
  <si>
    <t>SF-00983</t>
  </si>
  <si>
    <t>SF-00984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</si>
  <si>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</si>
  <si>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</si>
  <si>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SF-00986</t>
  </si>
  <si>
    <t>APARELHO PARA CORTE E SOLDA OXI-ACETILENO SOBRE RODAS, INCLUSIVE CILINDROS E MAÇARICOS - CHP DIURNO. AF_12/2015</t>
  </si>
  <si>
    <t>Soldador com encargos complementares</t>
  </si>
  <si>
    <t>SF-00987</t>
  </si>
  <si>
    <t>SF-00988</t>
  </si>
  <si>
    <t>SF-00989</t>
  </si>
  <si>
    <t>GRAMA BATATAIS EM PLACAS, SEM PLANTIO</t>
  </si>
  <si>
    <t>JARDINEIRO COM ENCARGOS COMPLEMENTARES</t>
  </si>
  <si>
    <t>CALCARIO DOLOMITICO A (POSTO PEDREIRA/FORNECEDOR, SEM FRETE)</t>
  </si>
  <si>
    <t>TERRA VEGETAL (GRANEL)</t>
  </si>
  <si>
    <t>FERTILIZANTE NPK - 10:10:10</t>
  </si>
  <si>
    <t>FERTILIZANTE ORGANICO COMPOSTO, CLASSE A</t>
  </si>
  <si>
    <t>t</t>
  </si>
  <si>
    <t>Obs.: Considerando fornecedor de calcário a 20km do Senado Federal.</t>
  </si>
  <si>
    <t>SF-00990</t>
  </si>
  <si>
    <t>TINTA ACRILICA PREMIUM PARA PISO</t>
  </si>
  <si>
    <t>PINTOR COM ENCARGOS COMPLEMENTARES</t>
  </si>
  <si>
    <t>Obs: considerando uma demão, meio-fio de 30 cm x 15 cm x 13 cm (altura, base inferior, base superior), enterrado 5 cm.</t>
  </si>
  <si>
    <t>SF-00991</t>
  </si>
  <si>
    <t>Obs.: Considerando fornecedor de areia a 20km do Senado Federal.</t>
  </si>
  <si>
    <t>SF-00992</t>
  </si>
  <si>
    <t>PEDRA BRITADA N. 2 (19 A 38 MM) POSTO PEDREIRA/FORNECEDOR, SEM FRETE</t>
  </si>
  <si>
    <t>CAMINHÃO BASCULANTE 6 M3, PESO BRUTO TOTAL 16.000 KG, CARGA ÚTIL MÁXIMA 13.071 KG, DISTÂNCIA ENTRE EIXOS 4,80 M, POTÊNCIA 230 CV INCLUSIVE CAÇAMBA METÁLICA - CHP DIURNO. AF_06/2014</t>
  </si>
  <si>
    <t>TUBO DRENO, CORRUGADO, ESPIRALADO, FLEXIVEL, PERFURADO, EM POLIETILENO DE ALTA DENSIDADE (PEAD), DN 100 MM, (4") PARA DRENAGEM - EM ROLO (NORMA DNIT 093/2006 - E.M)</t>
  </si>
  <si>
    <t>PLACA VIBRATÓRIA REVERSÍVEL COM MOTOR 4 TEMPOS A GASOLINA, FORÇA CENTRÍFUGA DE 25 KN (2500 KGF), POTÊNCIA 5,5 CV - CHP DIURNO. AF_08/2015</t>
  </si>
  <si>
    <t>Obs.: Considerando fornecedor de brita a 20km do Senado Federal.</t>
  </si>
  <si>
    <t>SF-00994</t>
  </si>
  <si>
    <t>Insert metálico tipo 3, conforme projeto</t>
  </si>
  <si>
    <t>SF-01001</t>
  </si>
  <si>
    <t>LOCACAO DE CONTAINER 2,30  X  6,00 M, ALT. 2,50 M, COM 1 SANITARIO, PARA ESCRITORIO, COMPLETO, SEM DIVISORIAS INTERNAS</t>
  </si>
  <si>
    <t>SF-01011</t>
  </si>
  <si>
    <t>MARTELETE OU ROMPEDOR PNEUMÁTICO MANUAL, 28 KG, COM SILENCIADOR - CHP DIURNO. AF_07/2016</t>
  </si>
  <si>
    <t>MARTELETE OU ROMPEDOR PNEUMÁTICO MANUAL, 28 KG, COM SILENCIADOR - CHI DIURNO. AF_07/2016</t>
  </si>
  <si>
    <t>SF-01012</t>
  </si>
  <si>
    <t>SF-01013</t>
  </si>
  <si>
    <t>Impermeabilizante Idea HP</t>
  </si>
  <si>
    <t>Obs: Rendimento informado na especificação do serviço (12 m2 para 1 L, considerando duas demãos).</t>
  </si>
  <si>
    <t>Fonte: SINAPI 73872/2</t>
  </si>
  <si>
    <t>SF-01014</t>
  </si>
  <si>
    <t>PLACA VINILICA SEMIFLEXIVEL PARA REVESTIMENTO DE PISOS E PAREDES, E = 2 MM (SEM COLOCACAO)</t>
  </si>
  <si>
    <t>POLIDORA DE PISO (POLITRIZ), PESO DE 100KG, DIÂMETRO 450 MM, MOTOR ELÉTRICO, POTÊNCIA 4 HP - CHP DIURNO. AF_09/2016</t>
  </si>
  <si>
    <t>POLIDORA DE PISO (POLITRIZ), PESO DE 100KG, DIÂMETRO 450 MM, MOTOR ELÉTRICO, POTÊNCIA 4 HP - CHI DIURNO. AF_09/2016</t>
  </si>
  <si>
    <t>SF-01029</t>
  </si>
  <si>
    <t>LOCACAO DE CONTAINER 2,30 X 6,00 M, ALT. 2,50 M,  PARA SANITARIO,  COM 4 BACIAS, 8 CHUVEIROS,1 LAVATORIO E 1 MICTORIO</t>
  </si>
  <si>
    <t>SF-01030</t>
  </si>
  <si>
    <t>LOCACAO DE CONTAINER 2,30  X  6,00 M, ALT. 2,50 M, PARA ESCRITORIO, SEM DIVISORIAS INTERNAS E SEM SANITARIO</t>
  </si>
  <si>
    <t>SF-01031</t>
  </si>
  <si>
    <t>PLACA DE OBRA (PARA CONSTRUCAO CIVIL) EM CHAPA GALVANIZADA *N. 22*, ADESIVADA, DE *2,0 X 1,125* M</t>
  </si>
  <si>
    <t>SF-01041</t>
  </si>
  <si>
    <t>TÉCNICO EM SEGURANÇA DO TRABALHO COM ENCARGOS COMPLEMENTARES</t>
  </si>
  <si>
    <t>SF-01053</t>
  </si>
  <si>
    <t>Adesivo epóxi estrutural - bisnaga de 50ml</t>
  </si>
  <si>
    <t>SF-01054</t>
  </si>
  <si>
    <t>Perfil metálico em chapa #14 dobrada</t>
  </si>
  <si>
    <t>SILICONE ACETICO USO GERAL INCOLOR 280 G</t>
  </si>
  <si>
    <t>Fonte: SIURB 08-01-70 e CDHU 403091</t>
  </si>
  <si>
    <t>SF-01059</t>
  </si>
  <si>
    <t>Granito Vermelho Brasília, com 20 mm de espessura, polido, com testeira para acabamento em meia esquadria, para bancadas</t>
  </si>
  <si>
    <t>SF-01060</t>
  </si>
  <si>
    <t>BUCHA DE NYLON SEM ABA S10, COM PARAFUSO DE 6,10 X 65 MM EM ACO ZINCADO COM ROSCA SOBERBA, CABECA CHATA E FENDA PHILLIPS</t>
  </si>
  <si>
    <t>GUARNICAO/MOLDURA DE ACABAMENTO PARA ESQUADRIA DE ALUMINIO ANODIZADO NATURAL, PARA 1 FACE</t>
  </si>
  <si>
    <t>PORTA DE ABRIR EM ALUMINIO TIPO VENEZIANA, ACABAMENTO ANODIZADO NATURAL, SEM GUARNICAO/ALIZAR/VISTA, 87 X 210 CM</t>
  </si>
  <si>
    <t>Pedreiro com encargos complementares</t>
  </si>
  <si>
    <t>SF-01061</t>
  </si>
  <si>
    <t>JANELA MAXIM AR EM ALUMINIO, 80 X 60 CM (A X L), BATENTE/REQUADRO DE 4 A 14 CM, COM VIDRO, SEM GUARNICAO/ALIZAR</t>
  </si>
  <si>
    <t>PARAFUSO DE ACO ZINCADO COM ROSCA SOBERBA, CABECA CHATA E FENDA SIMPLES, DIAMETRO 4,2 MM, COMPRIMENTO * 32 * MM</t>
  </si>
  <si>
    <t>SF-01062</t>
  </si>
  <si>
    <t>PORTA DE ENROLAR MANUAL COMPLETA, ARTICULADA RAIADA LARGA, EM ACO GALVANIZADO NATURAL, CHAPA NUMERO 24 (SEM INSTALACAO)</t>
  </si>
  <si>
    <t>SF-01063</t>
  </si>
  <si>
    <t>COTOVELO 90 GRAUS DE FERRO GALVANIZADO, COM ROSCA BSP, DE 1"</t>
  </si>
  <si>
    <t>NIPLE DE FERRO GALVANIZADO, COM ROSCA BSP, DE 1"</t>
  </si>
  <si>
    <t>PLUG OU BUJAO DE FERRO GALVANIZADO, DE 1/2"</t>
  </si>
  <si>
    <t>TE DE REDUCAO DE FERRO GALVANIZADO, COM ROSCA BSP, DE 1" X 1/2"</t>
  </si>
  <si>
    <t>UNIAO DE FERRO GALVANIZADO, COM ROSCA BSP, COM ASSENTO PLANO, DE 1"</t>
  </si>
  <si>
    <t>VALVULA DE ESFERA BRUTA EM BRONZE, BITOLA 1 " (REF 1552-B)</t>
  </si>
  <si>
    <t>VALVULA DE ESFERA BRUTA EM BRONZE, BITOLA 1/2 " (REF 1552-B)</t>
  </si>
  <si>
    <t>TUBO ACO GALVANIZADO COM COSTURA, CLASSE MEDIA, DN 1", E = 3,38 MM, PESO 2,50 KG/M (NBR 5580)</t>
  </si>
  <si>
    <t xml:space="preserve">MEDIDOR DE GÁS EM ALUMÍNIO. Ref. LAO G6 </t>
  </si>
  <si>
    <t>SF-01064</t>
  </si>
  <si>
    <t>Válvula de esfera tripartida Classe 300</t>
  </si>
  <si>
    <t>SF-01065</t>
  </si>
  <si>
    <t>CHAPA DE MADEIRA COMPENSADA RESINADA PARA FORMA DE CONCRETO, DE *2,2 X 1,1* M, E = 17 MM</t>
  </si>
  <si>
    <t>DESMOLDANTE PROTETOR PARA FORMAS DE MADEIRA, DE BASE OLEOSA EMULSIONADA EM AGUA</t>
  </si>
  <si>
    <t>PREGO DE ACO POLIDO COM CABECA 15 X 15 (1 1/4 X 13)</t>
  </si>
  <si>
    <t>VIBRADOR DE IMERSÃO, DIÂMETRO DE PONTEIRA 45MM, MOTOR ELÉTRICO TRIFÁSICO POTÊNCIA DE 2 CV - CHP DIURNO. AF_06/2015</t>
  </si>
  <si>
    <t>VIBRADOR DE IMERSÃO, DIÂMETRO DE PONTEIRA 45MM, MOTOR ELÉTRICO TRIFÁSICO POTÊNCIA DE 2 CV - CHI DIURNO. AF_06/2015</t>
  </si>
  <si>
    <t>SERRA CIRCULAR DE BANCADA COM MOTOR ELÉTRICO POTÊNCIA DE 5HP, COM COIFA PARA DISCO 10" - CHP DIURNO. AF_08/2015</t>
  </si>
  <si>
    <t>SERRA CIRCULAR DE BANCADA COM MOTOR ELÉTRICO POTÊNCIA DE 5HP, COM COIFA PARA DISCO 10" - CHI DIURNO. AF_08/2015</t>
  </si>
  <si>
    <t>ARMAÇÃO DE LAJE DE UMA ESTRUTURA CONVENCIONAL DE CONCRETO ARMADO EM UMA EDIFICAÇÃO TÉRREA OU SOBRADO UTILIZANDO AÇO CA-60 DE 4,2 MM - MONTAGEM. AF_12/2015</t>
  </si>
  <si>
    <t>CONCRETO FCK = 15MPA, TRAÇO 1:3,4:3,5 (CIMENTO/ AREIA MÉDIA/ BRITA 1)  - PREPARO MECÂNICO COM BETONEIRA 600 L. AF_07/2016</t>
  </si>
  <si>
    <t>SF-01066</t>
  </si>
  <si>
    <t>ELETRODUTO/DUTO PEAD FLEXIVEL PAREDE SIMPLES, CORRUGACAO HELICOIDAL, COR PRETA, SEM ROSCA, DE 3",  PARA CABEAMENTO SUBTERRANEO (NBR 15715)</t>
  </si>
  <si>
    <t>AUXILIAR DE ELETRICISTA COM ENCARGOS COMPLEMENTARES</t>
  </si>
  <si>
    <t>ELETRICISTA COM ENCARGOS COMPLEMENTARES</t>
  </si>
  <si>
    <t>SF-01068</t>
  </si>
  <si>
    <t>Eletroduto de aço com costura galvanização eletrolítica Ø 3"</t>
  </si>
  <si>
    <t>SF-01069</t>
  </si>
  <si>
    <t>Grelha em ferro fundido com caixilho de apoio espessura 15 mm, largura 200 mm</t>
  </si>
  <si>
    <t>SF-01070</t>
  </si>
  <si>
    <t>Granito Vermelho Brasília, com 20 mm de espessura e 150 mm de altura, para soleira e peitoril</t>
  </si>
  <si>
    <t>SF-01071</t>
  </si>
  <si>
    <t>Luminária redonda de embutir, LED, potência 19 W, temperatura de cor 3000 K, fluxo luminoso 1770 lm. Ref: OSRAM - LEDVANCE DOWNLIGHT XL WT 830</t>
  </si>
  <si>
    <t>SF-01072</t>
  </si>
  <si>
    <t>PISO TATIL ALERTA OU DIRECIONAL, DE BORRACHA, COLORIDO, 25 X 25 CM, E = 5 MM, PARA COLA</t>
  </si>
  <si>
    <t>SF-01073</t>
  </si>
  <si>
    <t>SF-01074</t>
  </si>
  <si>
    <t>TAMPAO FOFO ARTICULADO P/ REGISTRO, CLASSE A15 CARGA MAX 1,5 T, *200 X 200* MM</t>
  </si>
  <si>
    <t>SF-01076</t>
  </si>
  <si>
    <t>Cerâmica GAIL (Referência 1009 Placa Cerâmica Linha Gressit da Marca Gail, tamanho 240 mm x 116 mm, espessura 9 mm)</t>
  </si>
  <si>
    <t>SF-01077</t>
  </si>
  <si>
    <t>AREIA PARA ATERRO - POSTO JAZIDA/FORNECEDOR (RETIRADO NA JAZIDA, SEM TRANSPORTE)</t>
  </si>
  <si>
    <t>SF-01078</t>
  </si>
  <si>
    <t>CHAPA DE ACO GROSSA, ASTM A36, E = 3/8 " (9,53 MM) 74,69 KG/M2</t>
  </si>
  <si>
    <t>ELETRODO REVESTIDO AWS - E6013, DIAMETRO IGUAL A 2,50 MM</t>
  </si>
  <si>
    <t>PARAFUSO DE FERRO POLIDO, SEXTAVADO, COM ROSCA INTEIRA, DIAMETRO 5/16", COMPRIMENTO 3/4", COM PORCA E ARRUELA LISA LEVE</t>
  </si>
  <si>
    <t>PERFIL DE BORRACHA EPDM MACICO *12 X 15* MM PARA ESQUADRIAS</t>
  </si>
  <si>
    <t>VIDRO COMUM LAMINADO LISO INCOLOR DUPLO, ESPESSURA TOTAL 8 MM (CADA CAMADA DE 4 MM) - COLOCADO</t>
  </si>
  <si>
    <t>SERRALHEIRO COM ENCARGOS COMPLEMENTARES</t>
  </si>
  <si>
    <t>SF-01080</t>
  </si>
  <si>
    <t>Perfil "U" em aço galvanizado 25mm x 25mm, espessura 1,5mm (#16)</t>
  </si>
  <si>
    <t>SF-01082</t>
  </si>
  <si>
    <t>ALIMENTACAO - HORISTA (COLETADO CAIXA)</t>
  </si>
  <si>
    <t>SF-01083</t>
  </si>
  <si>
    <t>TRANSPORTE - HORISTA (COLETADO CAIXA)</t>
  </si>
  <si>
    <t>SF-01088</t>
  </si>
  <si>
    <t>COTOVELO DE COBRE 90 GRAUS (REF 607) SEM ANEL DE SOLDA, BOLSA X BOLSA, 35 MM</t>
  </si>
  <si>
    <t>SOLDA ESTANHO/COBRE PARA CONEXOES DE COBRE, FIO 2,5 MM, CARRETEL 500 GR (SEM CHUMBO)</t>
  </si>
  <si>
    <t>LIXA D'AGUA EM FOLHA, GRAO 100</t>
  </si>
  <si>
    <t>PASTA PARA SOLDA DE TUBOS E CONEXOES DE COBRE (EMBALAGEM COM 250 G)</t>
  </si>
  <si>
    <t>SF-01089</t>
  </si>
  <si>
    <t>COTOVELO DE COBRE 90 GRAUS (REF 607) SEM ANEL DE SOLDA, BOLSA X BOLSA, 42 MM</t>
  </si>
  <si>
    <t>SF-01090</t>
  </si>
  <si>
    <t>COTOVELO DE COBRE 90 GRAUS (REF 607) SEM ANEL DE SOLDA, BOLSA X BOLSA, 22 MM</t>
  </si>
  <si>
    <t>SF-01092</t>
  </si>
  <si>
    <t>LUVA DE COBRE (REF 600) SEM ANEL DE SOLDA, BOLSA X BOLSA, 35 MM</t>
  </si>
  <si>
    <t>SF-01093</t>
  </si>
  <si>
    <t>LUVA DE COBRE (REF 600) SEM ANEL DE SOLDA, BOLSA X BOLSA, 42 MM</t>
  </si>
  <si>
    <t>SF-01094</t>
  </si>
  <si>
    <t>LUVA DE COBRE (REF 600) SEM ANEL DE SOLDA, BOLSA X BOLSA, 22 MM</t>
  </si>
  <si>
    <t>SF-01097</t>
  </si>
  <si>
    <t>TUBO DE COBRE CLASSE "A", DN = 1 1/4 " (35 MM), PARA INSTALACOES DE MEDIA PRESSAO PARA GASES COMBUSTIVEIS E MEDICINAIS</t>
  </si>
  <si>
    <t>SF-01098</t>
  </si>
  <si>
    <t>TUBO DE COBRE CLASSE "A", DN = 1 1/2 " (42 MM), PARA INSTALACOES DE MEDIA PRESSAO PARA GASES COMBUSTIVEIS E MEDICINAIS</t>
  </si>
  <si>
    <t>SF-01101</t>
  </si>
  <si>
    <t>ELETRODUTO FLEXIVEL, EM ACO GALVANIZADO, REVESTIDO EXTERNAMENTE COM PVC PRETO, DIAMETRO EXTERNO DE 50 MM( 1 1/2"), TIPO SEALTUBO</t>
  </si>
  <si>
    <t>SF-01102</t>
  </si>
  <si>
    <t>TECNICO DE EDIFICACOES COM ENCARGOS COMPLEMENTARES</t>
  </si>
  <si>
    <t>SF-01104</t>
  </si>
  <si>
    <t>ENGENHEIRO CIVIL PLENO COM ENCARGOS COMPLEMENTARES</t>
  </si>
  <si>
    <t>SF-01105</t>
  </si>
  <si>
    <t>TAQUEADOR OU TAQUEIRO COM ENCARGOS COMPLEMENTARES</t>
  </si>
  <si>
    <t>Laminado melamínico texturizado esp. 1,3 mm</t>
  </si>
  <si>
    <t>SF-01106</t>
  </si>
  <si>
    <t>Granito Preto Absoluto, com 20 mm de espessura</t>
  </si>
  <si>
    <t>SF-01107</t>
  </si>
  <si>
    <t>Granito Arabesco, com 20 mm de espessura</t>
  </si>
  <si>
    <t>SF-01108</t>
  </si>
  <si>
    <t>PISO EM PORCELANATO RETIFICADO EXTRA, FORMATO MENOR OU IGUAL A 2025 CM2</t>
  </si>
  <si>
    <t>AZULEJISTA OU LADRILHISTA COM ENCARGOS COMPLEMENTARES</t>
  </si>
  <si>
    <t>SF-01109</t>
  </si>
  <si>
    <t>JUNTA PLASTICA DE DILATACAO PARA PISOS, COR CINZA, 17 X 3 MM (ALTURA X ESPESSURA)</t>
  </si>
  <si>
    <t>SF-01110</t>
  </si>
  <si>
    <t>Piso vinílico em manta esp. 2 mm</t>
  </si>
  <si>
    <t>SF-01111</t>
  </si>
  <si>
    <t>SELANTE MONOCOMPONENTE A BASE DE SILICONE DE BAIXO MODULO, PARA JUNTAS DE PAVIMENTACAO</t>
  </si>
  <si>
    <t>SF-01112</t>
  </si>
  <si>
    <t>Lixa grana 100 para superfície metálica</t>
  </si>
  <si>
    <t>Fonte: Pini 20.105.000010.SER e Pini 20.105.000015.SER</t>
  </si>
  <si>
    <t>SF-01113</t>
  </si>
  <si>
    <t>Raspagem, calafetagem, aplicação de synteko alto brilho em piso de madeira</t>
  </si>
  <si>
    <t>SF-01114</t>
  </si>
  <si>
    <t>TACO DE MADEIRA PARA PISO, IPE (CERNE) OU EQUIVALENTE DA REGIAO, 7 X 42 CM, E = 2 CM</t>
  </si>
  <si>
    <t>COLA BRANCA BASE PVA</t>
  </si>
  <si>
    <t>SF-01115</t>
  </si>
  <si>
    <t>SF-01116</t>
  </si>
  <si>
    <t>Piso sintético flutuante, laminado de alta resistência, superfície em overlay, substrato HDF-H, painel de fibras de madeira de alta densidade, e = 7 cm</t>
  </si>
  <si>
    <t>SF-01117</t>
  </si>
  <si>
    <t>Placa acústica perfilada, semi-rígida, de estrutura micro-celular, com dimensões de 625x625x25 mm, na cor natural (cinza claro)</t>
  </si>
  <si>
    <t>SF-01118</t>
  </si>
  <si>
    <t>Placa acústica plana, semi-rígida, de estrutura micro-celular, com dimensões de 625x625x25 mm, na cor natural (cinza claro)</t>
  </si>
  <si>
    <t>SF-01119</t>
  </si>
  <si>
    <t>ARAME GALVANIZADO 18 BWG, D = 1,24MM (0,009 KG/M)</t>
  </si>
  <si>
    <t>SISAL EM FIBRA</t>
  </si>
  <si>
    <t>CENTO</t>
  </si>
  <si>
    <t>GESSEIRO COM ENCARGOS COMPLEMENTARES</t>
  </si>
  <si>
    <t>SF-01120</t>
  </si>
  <si>
    <t>MASSA PARA TEXTURA LISA DE BASE ACRILICA, USO INTERNO E EXTERNO</t>
  </si>
  <si>
    <t>SF-01121</t>
  </si>
  <si>
    <t>TINTA ACRILICA PREMIUM, COR BRANCO FOSCO</t>
  </si>
  <si>
    <t>Obs.: Acréscimo de 15% no coeficiente da tinta para suprir a diferença de preço da tinta branca para as tintas de cores especiais.</t>
  </si>
  <si>
    <t>SF-01123</t>
  </si>
  <si>
    <t>SF-01124</t>
  </si>
  <si>
    <t>PRIMER EPOXI</t>
  </si>
  <si>
    <t>GL</t>
  </si>
  <si>
    <t>SF-01125</t>
  </si>
  <si>
    <t>SOLVENTE DILUENTE A BASE DE AGUARRAS</t>
  </si>
  <si>
    <t>SF-01126</t>
  </si>
  <si>
    <t>Carga inerte para tratamento antiderrapante em piso (ref.: Sikadur 512 ou 515)</t>
  </si>
  <si>
    <t>SF-01127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</si>
  <si>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</si>
  <si>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</si>
  <si>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LIXA EM FOLHA PARA FERRO, NUMERO 150</t>
  </si>
  <si>
    <t>SF-01128</t>
  </si>
  <si>
    <t>Compressor de ar portátil de 71 PCM - 15 kW</t>
  </si>
  <si>
    <t>Serra para corte de concreto e asfalto - 10 kW</t>
  </si>
  <si>
    <t>Cordão de polietileno expandido</t>
  </si>
  <si>
    <t>Disco diamantado - D = 350 mm</t>
  </si>
  <si>
    <t>SELANTE A BASE DE ALCATRAO E POLIURETANO PARA JUNTAS HORIZONTAIS</t>
  </si>
  <si>
    <t>SF-01129</t>
  </si>
  <si>
    <t>PO DE PEDRA (POSTO PEDREIRA/FORNECEDOR, SEM FRETE)</t>
  </si>
  <si>
    <t>BLOQUETE/PISO DE CONCRETO - MODELO BLOCO PISOGRAMA/CONCREGRAMA 2 FUROS, DIMENSOES APROX. DE 35 CM X 15 CM E ESPESSURA DE 7 CM (+/- 1 CM), COR NATURAL</t>
  </si>
  <si>
    <t>CALCETEIRO COM ENCARGOS COMPLEMENTARES</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</si>
  <si>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</si>
  <si>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</si>
  <si>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</si>
  <si>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Obs: considerando fornecedor de areia e brita a 20 km do Senado Federal</t>
  </si>
  <si>
    <t>SF-01130</t>
  </si>
  <si>
    <t>ROLO COMPACTADOR DE PNEUS, ESTATICO, PRESSAO VARIAVEL, POTENCIA 110 HP, PESO SEM/COM LASTRO 10,8/27 T, LARGURA DE ROLAGEM 2,30 M - CHI DIURNO. AF_06/2017</t>
  </si>
  <si>
    <t>ROLO COMPACTADOR DE PNEUS, ESTATICO, PRESSAO VARIAVEL, POTENCIA 110 HP, PESO SEM/COM LASTRO 10,8/27 T, LARGURA DE ROLAGEM 2,30 M - CHP DIURNO. AF_06/2017</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</si>
  <si>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</si>
  <si>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</si>
  <si>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POTÊNCIA 85 CV, TRAÇÃO 4X4, PESO COM LASTRO DE 4.675 KG - CHI DIURNO. AF_06/2014</t>
  </si>
  <si>
    <t>TRATOR DE PNEUS, POTÊNCIA 85 CV, TRAÇÃO 4X4, PESO COM LASTRO DE 4.675 KG - CHP DIURNO. AF_06/2014</t>
  </si>
  <si>
    <t>VASSOURA MECÂNICA REBOCÁVEL COM ESCOVA CILÍNDRICA, LARGURA ÚTIL DE VARRIMENTO DE 2,44 M - CHI DIURNO. AF_06/2014</t>
  </si>
  <si>
    <t>VASSOURA MECÂNICA REBOCÁVEL COM ESCOVA CILÍNDRICA, LARGURA ÚTIL DE VARRIMENTO DE 2,44 M - CHP DIURNO. AF_06/2014</t>
  </si>
  <si>
    <t>VIBROACABADORA DE ASFALTO SOBRE ESTEIRAS, LARGURA DE PAVIMENTAÇÃO 1,90 M A 5,30 M, POTÊNCIA 105 HP CAPACIDADE 450 T/H - CHP DIURNO. AF_11/2014</t>
  </si>
  <si>
    <t>CAMINHÃO BASCULANTE 10 M3, TRUCADO, POTÊNCIA 230 CV, INCLUSIVE CAÇAMBA METÁLICA, COM DISTRIBUIDOR DE AGREGADOS ACOPLADO - CHP DIURNO. AF_02/2017</t>
  </si>
  <si>
    <t>AREIA GROSSA - POSTO JAZIDA/FORNECEDOR (RETIRADO NA JAZIDA, SEM TRANSPORTE)</t>
  </si>
  <si>
    <t>EMULSAO ASFALTICA CATIONICA RL-1C PARA USO EM PAVIMENTACAO ASFALTICA (COLETADO CAIXA NA ANP ACRESCIDO DE ICMS)</t>
  </si>
  <si>
    <t>T</t>
  </si>
  <si>
    <t>GRUPO GERADOR ESTACIONÁRIO, POTÊNCIA 150 KVA, MOTOR A DIESEL- CHP DIURNO. AF_03/2016</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</si>
  <si>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</si>
  <si>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</si>
  <si>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USINA DE ASFALTO À FRIO, CAPACIDADE DE 40 A 60 TON/HORA, ELÉTRICA POTÊNCIA 30 CV - CHP DIURNO. AF_03/2016</t>
  </si>
  <si>
    <t>TANQUE DE ASFALTO ESTACIONÁRIO COM SERPENTINA, CAPACIDADE 30.000 L - CHP DIURNO. AF_06/2014</t>
  </si>
  <si>
    <t>SF-01131</t>
  </si>
  <si>
    <t>Compactador manual de placa vibratória - 3 kW - CHP</t>
  </si>
  <si>
    <t>Compactador manual de placa vibratória - 3 kW - CHI</t>
  </si>
  <si>
    <t>Asfalto a frio ensacado</t>
  </si>
  <si>
    <t>SF-01132</t>
  </si>
  <si>
    <t>CAMINHÃO TOCO, PBT 16.000 KG, CARGA ÚTIL MÁX. 10.685 KG, DIST. ENTRE EIXOS 4,8 M, POTÊNCIA 189 CV, INCLUSIVE CARROCERIA FIXA ABERTA DE MADEIRA P/ TRANSPORTE GERAL DE CARGA SECA, DIMEN. APROX. 2,5 X 7,00 X 0,50 M - CHP DIURNO. AF_06/2014</t>
  </si>
  <si>
    <t>TINTA A BASE DE RESINA ACRILICA, PARA SINALIZACAO HORIZONTAL VIARIA (NBR 11862)</t>
  </si>
  <si>
    <t>MICROESFERAS DE VIDRO PARA SINALIZACAO HORIZONTAL VIARIA, TIPO I-B (PREMIX) - NBR 16184</t>
  </si>
  <si>
    <t>MÁQUINA DEMARCADORA DE FAIXA DE TRÁFEGO À FRIO, AUTOPROPELIDA, POTÊNCIA 38 HP - CHP DIURNO. AF_07/2016</t>
  </si>
  <si>
    <t>SF-01133</t>
  </si>
  <si>
    <t>HASTE RETA PARA GANCHO DE FERRO GALVANIZADO, COM ROSCA 1/4 " X 30 CM PARA FIXACAO DE TELHA METALICA, INCLUI PORCA E ARRUELAS DE VEDACAO</t>
  </si>
  <si>
    <t>TELHADISTA COM ENCARGOS COMPLEMENTARES</t>
  </si>
  <si>
    <t>GUINCHO ELÉTRICO DE COLUNA, CAPACIDADE 400 KG, COM MOTO FREIO, MOTOR TRIFÁSICO DE 1,25 CV - CHP DIURNO. AF_03/2016</t>
  </si>
  <si>
    <t>GUINCHO ELÉTRICO DE COLUNA, CAPACIDADE 400 KG, COM MOTO FREIO, MOTOR TRIFÁSICO DE 1,25 CV - CHI DIURNO. AF_03/2016</t>
  </si>
  <si>
    <t>SF-01134</t>
  </si>
  <si>
    <t>SF-01135</t>
  </si>
  <si>
    <t>Telha metálica trapezoidal galvanizada GR 25 com espessura de 0,43 mm, com largura de 1020 mm e comprimento de 5 metros.</t>
  </si>
  <si>
    <t>SF-01136</t>
  </si>
  <si>
    <t>SF-01137</t>
  </si>
  <si>
    <t>Conjunto de vedação elástica para furo Ø 8 mm</t>
  </si>
  <si>
    <t>Telha estrutural de fibrocimento ondulada esp. 8 mm largura útil 102 cm</t>
  </si>
  <si>
    <t>Calço plástico para fixação de telha de fibrocimento tipo modulada e onda 50</t>
  </si>
  <si>
    <t>Fixador de aba telha de fibrocimento simples modulada</t>
  </si>
  <si>
    <t>Parafuso rosca soberba galvanizado Ø 8 mm x 165 mm</t>
  </si>
  <si>
    <t>SF-01138</t>
  </si>
  <si>
    <t>Cumeeira articulada superior para telha de fibrocimento modulada ou onda 50</t>
  </si>
  <si>
    <t>SF-01139</t>
  </si>
  <si>
    <t>Cumeeira articulada inferior para telha de fibrocimento tipo modulada ou onda 50</t>
  </si>
  <si>
    <t>SF-01140</t>
  </si>
  <si>
    <t>CONJUNTO ARRUELAS DE VEDACAO 5/16" PARA TELHA FIBROCIMENTO (UMA ARRUELA METALICA E UMA ARRUELA PVC - CONICAS)</t>
  </si>
  <si>
    <t>PARAFUSO ZINCADO ROSCA SOBERBA, CABECA SEXTAVADA, 5/16 " X 250 MM, PARA FIXACAO DE TELHA EM MADEIRA</t>
  </si>
  <si>
    <t>TELHA DE FIBROCIMENTO ONDULADA E = 6 MM, DE 2,44 X 1,10 M (SEM AMIANTO)</t>
  </si>
  <si>
    <t>SF-01141</t>
  </si>
  <si>
    <t>CUMEEIRA UNIVERSAL PARA TELHA ONDULADA DE FIBROCIMENTO, E = 6 MM, ABA 210 MM, COMPRIMENTO 1100 MM (SEM AMIANTO)</t>
  </si>
  <si>
    <t>SF-01142</t>
  </si>
  <si>
    <t>CUMEEIRA SHED PARA TELHA ONDULADA DE FIBROCIMENTO, E = 6 MM, ABA 280 MM, COMPRIMENTO 1100 MM (SEM AMIANTO)</t>
  </si>
  <si>
    <t>SF-01143</t>
  </si>
  <si>
    <t>Parafuso rosca soberba galvanizado Ø 8 mm x 250 mm</t>
  </si>
  <si>
    <t>SF-01147</t>
  </si>
  <si>
    <t>FUNDO ANTICORROSIVO PARA METAIS FERROSOS (ZARCAO)</t>
  </si>
  <si>
    <t>SF-01148</t>
  </si>
  <si>
    <t>SF-01149</t>
  </si>
  <si>
    <t>Lava-jato água fria pressão 1700 psi</t>
  </si>
  <si>
    <t>loc/un/h</t>
  </si>
  <si>
    <t>Solução limpadora diluída em água</t>
  </si>
  <si>
    <t>SF-01150</t>
  </si>
  <si>
    <t>ANEL BORRACHA, DN 150 MM, PARA TUBO SERIE REFORCADA ESGOTO PREDIAL</t>
  </si>
  <si>
    <t>PASTA LUBRIFICANTE PARA TUBOS E CONEXOES COM JUNTA ELASTICA (USO EM PVC, ACO, POLIETILENO E OUTROS) ( DE *400* G)</t>
  </si>
  <si>
    <t>ADESIVO PLASTICO PARA PVC, FRASCO COM 850 GR</t>
  </si>
  <si>
    <t>SOLUCAO LIMPADORA PARA PVC, FRASCO COM 1000 CM3</t>
  </si>
  <si>
    <t>RALO FOFO SEMIESFERICO, 150 MM, PARA LAJES/ CALHAS</t>
  </si>
  <si>
    <t>SF-01151</t>
  </si>
  <si>
    <t>SF-01152</t>
  </si>
  <si>
    <t>ADITIVO ADESIVO LIQUIDO PARA ARGAMASSAS DE REVESTIMENTOS CIMENTICIOS</t>
  </si>
  <si>
    <t>ARGAMASSA TRAÇO 1:4 (EM VOLUME DE CIMENTO E AREIA MÉDIA ÚMIDA) PARA CONTRAPISO, PREPARO MECÂNICO COM BETONEIRA 400 L. AF_08/2019</t>
  </si>
  <si>
    <t>SF-01153</t>
  </si>
  <si>
    <t>SF-01154</t>
  </si>
  <si>
    <t>GEOTEXTIL NAO TECIDO AGULHADO DE FILAMENTOS CONTINUOS 100% POLIESTER, RESITENCIA A TRACAO = 10 KN/M</t>
  </si>
  <si>
    <t>SF-01155</t>
  </si>
  <si>
    <t>POLIESTIRENO EXPANDIDO/EPS (ISOPOR), TIPO 2F, PLACA, ISOLAMENTO TERMOACUSTICO, E = 20 MM, 1000 X 500 MM</t>
  </si>
  <si>
    <t>SF-01156</t>
  </si>
  <si>
    <t>SF-01157</t>
  </si>
  <si>
    <t>SF-01158</t>
  </si>
  <si>
    <t>Pintura inibidora de raízes</t>
  </si>
  <si>
    <t>SF-01159</t>
  </si>
  <si>
    <t>Geocomposto Drenante industrializado formado por estrutura drenante de pelo menos 10 mm</t>
  </si>
  <si>
    <t>SF-01160</t>
  </si>
  <si>
    <t>PREGO DE ACO POLIDO COM CABECA 18 X 27 (2 1/2 X 10)</t>
  </si>
  <si>
    <t>REBITE DE ALUMINIO VAZADO DE REPUXO, 3,2 X 8 MM (1KG = 1025 UNIDADES)</t>
  </si>
  <si>
    <t>SOLDA EM BARRA DE ESTANHO-CHUMBO 50/50</t>
  </si>
  <si>
    <t>CALHA QUADRADA DE CHAPA DE ACO GALVANIZADA NUM 24, CORTE 100 CM</t>
  </si>
  <si>
    <t>SF-01161</t>
  </si>
  <si>
    <t>RUFO INTERNO/EXTERNO DE CHAPA DE ACO GALVANIZADA NUM 24, CORTE 25 CM</t>
  </si>
  <si>
    <t>SF-01163</t>
  </si>
  <si>
    <t>ACO CA-50, 10,0 MM, OU 12,5 MM, OU 16,0 MM, OU 20,0 MM, DOBRADO E CORTADO</t>
  </si>
  <si>
    <t>Chapa de madeira compensada resinada 1,10 x 2,20 m # 10 mm</t>
  </si>
  <si>
    <t>BETONEIRA CAPACIDADE NOMINAL DE 600 L, CAPACIDADE DE MISTURA 360 L, MOTOR ELÉTRICO TRIFÁSICO POTÊNCIA DE 4 CV, SEM CARREGADOR - CHP DIURNO. AF_11/2014</t>
  </si>
  <si>
    <t>PREGO DE ACO POLIDO COM CABECA 17 X 21 (2 X 11)</t>
  </si>
  <si>
    <t>SF-01164</t>
  </si>
  <si>
    <t>TELA DE ACO SOLDADA NERVURADA, CA-60, Q-92, (1,48 KG/M2), DIAMETRO DO FIO = 4,2 MM, LARGURA = 2,45 X 60 M DE COMPRIMENTO, ESPACAMENTO DA MALHA = 15  X 15 CM</t>
  </si>
  <si>
    <t>SF-01165</t>
  </si>
  <si>
    <t>PARAFUSO, COMUM, ASTM A307, SEXTAVADO, DIAMETRO 1/2" (12,7 MM), COMPRIMENTO 1" (25,4 MM)</t>
  </si>
  <si>
    <t>PERFIL "U" ENRIJECIDO DE ACO GALVANIZADO, DOBRADO, 150 X 60 X 20 MM, E = 3,00 MM OU 200 X 75 X 25 MM, E = 3,75 MM</t>
  </si>
  <si>
    <t>SF-01166</t>
  </si>
  <si>
    <t>Obs: considerando rendimento informado na especificação técnica do produto indicado como referência comercial (Lata de 3,6L rende até 3 demãos, com 25 m²/demão).</t>
  </si>
  <si>
    <t>SF-01167</t>
  </si>
  <si>
    <t>Tinta aluminizada de base asfáltica</t>
  </si>
  <si>
    <t>SF-01168</t>
  </si>
  <si>
    <t>POLIESTIRENO EXPANDIDO/EPS (ISOPOR), PEROLAS, PARA CONCRETO LEVE</t>
  </si>
  <si>
    <t>Obs: considerando fornecedor de areia a 20 km do Senado Federal</t>
  </si>
  <si>
    <t>SF-01169</t>
  </si>
  <si>
    <t>PRIMER PARA MANTA ASFALTICA A BASE DE ASFALTO MODIFICADO DILUIDO EM SOLVENTE, APLICACAO A FRIO</t>
  </si>
  <si>
    <t>AJUDANTE ESPECIALIZADO COM ENCARGOS COMPLEMENTARES</t>
  </si>
  <si>
    <t>Obs: Adotou-se o consumo de 350 mL/m², conforme recomendação do fabricante do produto para aplicação homogênea.</t>
  </si>
  <si>
    <t>http://vedacit.com.br/produtos/primer-eco-vedacit</t>
  </si>
  <si>
    <t>SF-01170</t>
  </si>
  <si>
    <t>MEMBRANA IMPERMEABILIZANTE A BASE DE POLIURETANO</t>
  </si>
  <si>
    <t>SF-01171</t>
  </si>
  <si>
    <t>MANTA ASFALTICA ELASTOMERICA EM POLIESTER 4 MM, TIPO III, CLASSE B, ACABAMENTO PP (NBR 9952)</t>
  </si>
  <si>
    <t>GAS DE COZINHA - GLP</t>
  </si>
  <si>
    <t>SF-01172</t>
  </si>
  <si>
    <t>Manta asfáltica aluminizada</t>
  </si>
  <si>
    <t>SF-01173</t>
  </si>
  <si>
    <t>Emulsão hidro-asfáltica</t>
  </si>
  <si>
    <t>Tinta betuminosa</t>
  </si>
  <si>
    <t>Manta butílica # 0,8 mm</t>
  </si>
  <si>
    <t>Fita de caldeação para manta butilíca largura 50 mm # 3 mm</t>
  </si>
  <si>
    <t>Adesivo auto vulcanizante para manta butilíca</t>
  </si>
  <si>
    <t>SF-01174</t>
  </si>
  <si>
    <t>MEMBRANA IMPERMEABILIZANTE ACRILICA MONOCOMPONENTE</t>
  </si>
  <si>
    <t>SF-01175</t>
  </si>
  <si>
    <t>Asfalto elastomérico</t>
  </si>
  <si>
    <t>*Adotou-se o consumo de 2 kg/m², valor intermediário da recomendação do fabricante do produto.</t>
  </si>
  <si>
    <t>http://www.denverimper.com.br/files/produtos/0000001-0000500/122/e5fe48d2b8810574e94921c5fb6cea0c.pdf</t>
  </si>
  <si>
    <t>SF-01176</t>
  </si>
  <si>
    <t>MANTA ASFALTICA ELASTOMERICA EM POLIESTER 3 MM, TIPO III, CLASSE B, ACABAMENTO PP (NBR 9952)</t>
  </si>
  <si>
    <t>SF-01177</t>
  </si>
  <si>
    <t>SF-01179</t>
  </si>
  <si>
    <t>ADITIVO LIQUIDO INCORPORADOR DE AR PARA CONCRETO E ARGAMASSA, LIQUIDO E ISENTO DE CLORETOS</t>
  </si>
  <si>
    <t>Obs: considerando 1,01 L/kg, conforme especificado na ficha técnica do produto indicado como referência comercial.</t>
  </si>
  <si>
    <t>SF-01180</t>
  </si>
  <si>
    <t>Obs: considerando fornecedor de brita a 20 km do Senado Federal</t>
  </si>
  <si>
    <t>SF-01232</t>
  </si>
  <si>
    <t>Cola de contato a base d'água</t>
  </si>
  <si>
    <t>Adjuvante para argamassa base PVA</t>
  </si>
  <si>
    <t>Carpete aveludado azul royal, para uso comercial, adequado para tráfego pesado, conforme especificações técnicas.</t>
  </si>
  <si>
    <t>SF-01233</t>
  </si>
  <si>
    <t>COMPOSIÇÕES DE CUSTO UNITÁRIO AUXILIARES DE 1º NÍVEL</t>
  </si>
  <si>
    <t>TOTAL</t>
  </si>
  <si>
    <t>Servente com encargos complementares</t>
  </si>
  <si>
    <t>Encanador ou bombeiro hidráulico com encargos complementares</t>
  </si>
  <si>
    <t>Abracadeira em aco para amarracao de eletrodutos, tipo D, com 1/2" e parafuso de fixacao</t>
  </si>
  <si>
    <t>Chapa de madeira compensada resinada para forma de concreto, de *2,2 x 1,1* m, e = 17 mm</t>
  </si>
  <si>
    <t>Prego de aco polido com cabeca 17 x 21 (2 x 11)</t>
  </si>
  <si>
    <t>Serra circular de bancada com motor elétrico potência de 5HP, com coifa para disco 10" - CHP diurno. af_08/2015</t>
  </si>
  <si>
    <t>Serra circular de bancada com motor elétrico potência de 5HP, com coifa para disco 10" - CHI diurno. af_08/2015</t>
  </si>
  <si>
    <t>Cal hidratada CH-I para argamassas</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</si>
  <si>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</si>
  <si>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</si>
  <si>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Areia grossa - posto jazida/fornecedor (retirado na jazida, sem transporte)</t>
  </si>
  <si>
    <t>Argamassa industrializada para chapisco colante</t>
  </si>
  <si>
    <t>Misturador de argamassa, eixo horizontal, capacidade de mistura 300 kg, motor elétrico potência 5 cv - CHP diurno. af_06/2014</t>
  </si>
  <si>
    <t>Misturador de argamassa, eixo horizontal, capacidade de mistura 300 kg, motor elétrico potência 5 cv - CHI diurno. af_06/2014</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</si>
  <si>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</si>
  <si>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</si>
  <si>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</si>
  <si>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</si>
  <si>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</si>
  <si>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Fixação de tubos verticais de PPR diâmetros maiores que 40 mm e menores ou iguais a 75 mm com abraçadeira metálica rígida tipo D 2", fixada em perfilado em alvenaria. af_05/2015</t>
  </si>
  <si>
    <t>Abracadeira em aco para amarracao de eletrodutos, tipo D, com 2" e parafuso de fixacao</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</si>
  <si>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</si>
  <si>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</si>
  <si>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ACO CA-50, 20,0 MM OU 25,0 MM, VERGALHAO</t>
  </si>
  <si>
    <t>Vibrador de imersão, diâmetro de ponteira 45mm, motor elétrico trifásico potência de 2 CV - CHP diurno. AF_06/2015</t>
  </si>
  <si>
    <t>Vibrador de imersão, diâmetro de ponteira 45mm, motor elétrico trifásico potência de 2 CV - CHI diurno. AF_06/2015</t>
  </si>
  <si>
    <t>M3XKM</t>
  </si>
  <si>
    <t>OPERADOR DE BETONEIRA ESTACIONÁRIA/MISTURADOR COM ENCARGOS COMPLEMENTARES</t>
  </si>
  <si>
    <t>BETONEIRA CAPACIDADE NOMINAL DE 600 L, CAPACIDADE DE MISTURA 360 L, MOTOR ELÉTRICO TRIFÁSICO POTÊNCIA DE 4 CV, SEM CARREGADOR - CHI DIURNO. AF_11/2014</t>
  </si>
  <si>
    <t>CAL HIDRATADA CH-I PARA ARGAMASSAS</t>
  </si>
  <si>
    <t>BATENTE/ PORTAL/ ADUELA/ MARCO MACICO, E= *3 CM, L= *13 CM, *60 CM A 120* CM X *210 CM,  EM CEDRINHO/ ANGELIM COMERCIAL/ EUCALIPTO/ CURUPIXA/ PEROBA/ CUMARU OU EQUIVALENTE DA REGIAO (NAO INCLUI ALIZARES)</t>
  </si>
  <si>
    <t>JG</t>
  </si>
  <si>
    <t>PREGO DE ACO POLIDO COM CABECA 12 X 12</t>
  </si>
  <si>
    <t>CORTE E DOBRA DE AÇO CA-60, DIÂMETRO DE 4,2 MM, UTILIZADO EM LAJE. AF_12/2015</t>
  </si>
  <si>
    <t>Contrapiso em argamassa traço 1:4 (cimento e areia), preparo mecânico com betoneira 400 l, aplicado em áreas secas sobre laje, aderido, espessura 3cm. AF_06/2014</t>
  </si>
  <si>
    <t>Fixação de tubos verticais de PPR diâmetros maiores que 40 mm e menores ou iguais a 75 mm com abraçadeira metálica rígida tipo D 1 1/2", fixada em perfilado em alvenaria. af_05/2015</t>
  </si>
  <si>
    <t>Abracadeira em aco para amarracao de eletrodutos, tipo D, com 1 1/2" e parafuso de fixacao</t>
  </si>
  <si>
    <t>CONCRETO MAGRO PARA LASTRO, TRAÇO 1:4,5:4,5 (CIMENTO/ AREIA MÉDIA/ BRITA 1)  - PREPARO MECÂNICO COM BETONEIRA 400 L. AF_07/2016</t>
  </si>
  <si>
    <t>ARGAMASSA TRAÇO 1:0,5:4,5 (EM VOLUME DE CIMENTO, CAL E AREIA MÉDIA ÚMIDA) PARA ASSENTAMENTO DE ALVENARIA, PREPARO MANUAL. AF_08/2019</t>
  </si>
  <si>
    <t>ACO CA-60, 4,2 MM, OU 5,0 MM, OU 6,0 MM, OU 7,0 MM, VERGALHAO</t>
  </si>
  <si>
    <t>COMPOSIÇÕES DE CUSTO UNITÁRIO AUXILIARES DE 2º NÍVEL</t>
  </si>
  <si>
    <t>PLANILHA ORÇAMENTÁRIA</t>
  </si>
  <si>
    <t>Padrão</t>
  </si>
  <si>
    <t>QUANTIDADE</t>
  </si>
  <si>
    <t>CUSTO DIRETO</t>
  </si>
  <si>
    <t>BDI (%)</t>
  </si>
  <si>
    <t>PREÇO UNITÁRIO COM BDI</t>
  </si>
  <si>
    <t>Engenheiro(a) /Arquiteto(a) júnior</t>
  </si>
  <si>
    <t>hh</t>
  </si>
  <si>
    <t>Mestre de obras</t>
  </si>
  <si>
    <t>Planejamento físico-financeiro</t>
  </si>
  <si>
    <t>Projetos de segurança do trabalho</t>
  </si>
  <si>
    <t>Demolição de alvenarias</t>
  </si>
  <si>
    <t>Demolição de concreto simples</t>
  </si>
  <si>
    <t>Demolição em concreto armado</t>
  </si>
  <si>
    <t>SF-00015</t>
  </si>
  <si>
    <t>Locação de caçambas</t>
  </si>
  <si>
    <t>Retirada de entulhos</t>
  </si>
  <si>
    <t>Tapume</t>
  </si>
  <si>
    <t>Furo em concreto para diâmetros maiores que 75mm</t>
  </si>
  <si>
    <t>Concreto virado em betoneira, fck = 15 MPa</t>
  </si>
  <si>
    <t>Forma para estruturas de concreto</t>
  </si>
  <si>
    <t>Alvenaria de vedação</t>
  </si>
  <si>
    <t>Fixação (encunhamento) de Alvenaria de Vedação</t>
  </si>
  <si>
    <t>Chapisco com argamassa traço 1:3</t>
  </si>
  <si>
    <t>Reboco com argamassa industrializada e=2,0 cm</t>
  </si>
  <si>
    <t>Contrapiso em argamassa (e=2cm) ou Regularização de contrapiso existente</t>
  </si>
  <si>
    <t>Tubo PVC esgoto ou aguas pluviais predial DN 100mm</t>
  </si>
  <si>
    <t>Tubo PVC esgoto ou aguas pluviais predial DN 75mm</t>
  </si>
  <si>
    <t>Caixa de passagem em alumínio 200x200x100mm</t>
  </si>
  <si>
    <t>Eletroduto de aço galvanizado de 1"</t>
  </si>
  <si>
    <t>Eletroduto de aço galvanizado de 2"</t>
  </si>
  <si>
    <t>Eletroduto flexível metálico com capa de PVC 1’’</t>
  </si>
  <si>
    <t>Perfilado 38x38mm</t>
  </si>
  <si>
    <t>Interruptor para condulete</t>
  </si>
  <si>
    <t>Tomada para condulete</t>
  </si>
  <si>
    <t>Condutor 2,5 mm²</t>
  </si>
  <si>
    <t>Condutor 4 mm²</t>
  </si>
  <si>
    <t>SF-00405</t>
  </si>
  <si>
    <t>SF-00407</t>
  </si>
  <si>
    <t>SF-00409</t>
  </si>
  <si>
    <t>SF-00411</t>
  </si>
  <si>
    <t>SF-00414</t>
  </si>
  <si>
    <t>SF-00415</t>
  </si>
  <si>
    <t>SF-00416</t>
  </si>
  <si>
    <t>SF-00443</t>
  </si>
  <si>
    <t>SF-00468</t>
  </si>
  <si>
    <t>SF-00470</t>
  </si>
  <si>
    <t>SF-00471</t>
  </si>
  <si>
    <t>SF-00472</t>
  </si>
  <si>
    <t>SF-00489</t>
  </si>
  <si>
    <t>SF-00490</t>
  </si>
  <si>
    <t>SF-00491</t>
  </si>
  <si>
    <t>SF-00494</t>
  </si>
  <si>
    <t>SF-00496</t>
  </si>
  <si>
    <t>SF-00498</t>
  </si>
  <si>
    <t>SF-00500</t>
  </si>
  <si>
    <t>SF-00501</t>
  </si>
  <si>
    <t>SF-00502</t>
  </si>
  <si>
    <t>SF-00503</t>
  </si>
  <si>
    <t>SF-00504</t>
  </si>
  <si>
    <t>SF-00505</t>
  </si>
  <si>
    <t>SF-00506</t>
  </si>
  <si>
    <t>SF-00507</t>
  </si>
  <si>
    <t>SF-00508</t>
  </si>
  <si>
    <t>SF-00509</t>
  </si>
  <si>
    <t>SF-00510</t>
  </si>
  <si>
    <t>SF-00511</t>
  </si>
  <si>
    <t>SF-00512</t>
  </si>
  <si>
    <t>SF-00513</t>
  </si>
  <si>
    <t>SF-00514</t>
  </si>
  <si>
    <t>SF-00557</t>
  </si>
  <si>
    <t>SF-00559</t>
  </si>
  <si>
    <t>SF-00561</t>
  </si>
  <si>
    <t>SF-00562</t>
  </si>
  <si>
    <t>SF-00583</t>
  </si>
  <si>
    <t>SF-00592</t>
  </si>
  <si>
    <t>SF-00829</t>
  </si>
  <si>
    <t>SF-00840</t>
  </si>
  <si>
    <t>SF-00841</t>
  </si>
  <si>
    <t>SF-00847</t>
  </si>
  <si>
    <t>SF-00848</t>
  </si>
  <si>
    <t>Armação de aço CA-50 bitolas de 5,0mm a 8,00mm</t>
  </si>
  <si>
    <t>Escavação manual de valas</t>
  </si>
  <si>
    <t>Reaterro de vala com compactação mecanizada</t>
  </si>
  <si>
    <t>Aterro de vala com compactação mecanizada</t>
  </si>
  <si>
    <t>Tampa em ferro fundido T33</t>
  </si>
  <si>
    <t>Impermeabilização com emulsão asfáltica</t>
  </si>
  <si>
    <t xml:space="preserve">m3 </t>
  </si>
  <si>
    <t>Pavimentação em concreto armado simples</t>
  </si>
  <si>
    <t>Demolição de estrutura metálica</t>
  </si>
  <si>
    <t xml:space="preserve">kg </t>
  </si>
  <si>
    <t>Escavação manual com profundidade maior do que 1,30 m</t>
  </si>
  <si>
    <t>Escavação mecânica com profundidade maior do que 1,30 m</t>
  </si>
  <si>
    <t>Grama Batatais em placas de 40 x 40 cm</t>
  </si>
  <si>
    <t>Pintura de meios-fios com tinta acrílica</t>
  </si>
  <si>
    <t>Meios-fios em concreto pré-moldado</t>
  </si>
  <si>
    <t>Tubo PEAD corrugado para drenagem – Diâmetro 100 mm</t>
  </si>
  <si>
    <t>Locação de Container - Escritório</t>
  </si>
  <si>
    <t xml:space="preserve">mês </t>
  </si>
  <si>
    <t>Locação de Container - Sanitário</t>
  </si>
  <si>
    <t>Locação de Container - Almoxarifado</t>
  </si>
  <si>
    <t>Placa de Obra</t>
  </si>
  <si>
    <t>Placa de Concreto Pré-Moldado 15 Mpa</t>
  </si>
  <si>
    <t>Eletroduto PEAD 3”</t>
  </si>
  <si>
    <t>Eletroduto de aço galvanizado de 3”</t>
  </si>
  <si>
    <t>Piso tátil de borracha</t>
  </si>
  <si>
    <t>Aterro de vala com areia média e compactação mecanizada</t>
  </si>
  <si>
    <t>Selagem ou resselagem de juntas em pavimentação de concreto armado</t>
  </si>
  <si>
    <t>Pintura para sinalização e demarcação viária horizontal</t>
  </si>
  <si>
    <t>Camada Drenante para Impermeabilização</t>
  </si>
  <si>
    <t>BENEFÍCIOS E DESPESAS INDIRETAS - BDI</t>
  </si>
  <si>
    <t>BDI Edificações</t>
  </si>
  <si>
    <t>BDI mero fornecimento</t>
  </si>
  <si>
    <t>Componentes do BDI</t>
  </si>
  <si>
    <t>Cálculo sem CPRB</t>
  </si>
  <si>
    <t>não-desonerado</t>
  </si>
  <si>
    <t>% considerado</t>
  </si>
  <si>
    <t>AC</t>
  </si>
  <si>
    <t>S+G</t>
  </si>
  <si>
    <t>R</t>
  </si>
  <si>
    <t>DF</t>
  </si>
  <si>
    <t>PIS</t>
  </si>
  <si>
    <t>COFINS</t>
  </si>
  <si>
    <t>CPRB</t>
  </si>
  <si>
    <t>ISS</t>
  </si>
  <si>
    <r>
      <t xml:space="preserve">Fontes: </t>
    </r>
    <r>
      <rPr>
        <sz val="12"/>
        <rFont val="Arial"/>
        <family val="2"/>
      </rPr>
      <t>Acórdãos 2.369/2011-TCU-Plenário e 2.622/2013-TCU-Plenário.</t>
    </r>
  </si>
  <si>
    <t>CUSTO DIRETO TOTAL</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</si>
  <si>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</si>
  <si>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</si>
  <si>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</si>
  <si>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GUINDAUTO HIDRÁULICO, CAPACIDADE MÁXIMA DE CARGA 6200 KG, MOMENTO MÁXIMO DE CARGA 11,7 TM, ALCANCE MÁXIMO HORIZONTAL 9,70 M, INCLUSIVE CAMINHÃO TOCO PBT 16.000 KG, POTÊNCIA DE 189 CV - CHP DIURNO. AF_06/2014</t>
  </si>
  <si>
    <t>PÁ CARREGADEIRA SOBRE RODAS, POTÊNCIA LÍQUIDA 128 HP, CAPACIDADE DA CAÇAMBA 1,7 A 2,8 M3, PESO OPERACIONAL 11632 KG - CHP DIURNO. AF_06/2014</t>
  </si>
  <si>
    <t>PERFURATRIZ HIDRÁULICA SOBRE CAMINHÃO COM TRADO CURTO ACOPLADO, PROFUNDIDADE MÁXIMA DE 20 M, DIÂMETRO MÁXIMO DE 1500 MM, POTÊNCIA INSTALADA DE 137 HP, MESA ROTATIVA COM TORQUE MÁXIMO DE 30 KNM - CHP DIURNO. AF_06/2015</t>
  </si>
  <si>
    <t>DESEMPENADEIRA DE CONCRETO, PESO DE 75KG, 4 PÁS, MOTOR A GASOLINA, POTÊNCIA 5,5 HP - CHP DIURNO. AF_09/2016</t>
  </si>
  <si>
    <t>PERFURATRIZ PNEUMATICA MANUAL DE PESO MEDIO, MARTELETE, 18KG, COMPRIMENTO MÁXIMO DE CURSO DE 6 M, DIAMETRO DO PISTAO DE 5,5 CM - CHP DIURNO. AF_11/2016</t>
  </si>
  <si>
    <t>ESCAVADEIRA HIDRÁULICA SOBRE ESTEIRAS, CAÇAMBA 0,80 M3, PESO OPERACIONAL 17 T, POTENCIA BRUTA 111 HP - CHI DIURNO. AF_06/2014</t>
  </si>
  <si>
    <t>RETROESCAVADEIRA SOBRE RODAS COM CARREGADEIRA, TRAÇÃO 4X4, POTÊNCIA LÍQ. 88 HP, CAÇAMBA CARREG. CAP. MÍN. 1 M3, CAÇAMBA RETRO CAP. 0,26 M3, PESO OPERACIONAL MÍN. 6.674 KG, PROFUNDIDADE ESCAVAÇÃO MÁX. 4,37 M - CHI DIURNO. AF_06/2014</t>
  </si>
  <si>
    <t>PÁ CARREGADEIRA SOBRE RODAS, POTÊNCIA LÍQUIDA 128 HP, CAPACIDADE DA CAÇAMBA 1,7 A 2,8 M3, PESO OPERACIONAL 11632 KG - CHI DIURNO. AF_06/2014</t>
  </si>
  <si>
    <t>PERFURATRIZ HIDRÁULICA SOBRE CAMINHÃO COM TRADO CURTO ACOPLADO, PROFUNDIDADE MÁXIMA DE 20 M, DIÂMETRO MÁXIMO DE 1500 MM, POTÊNCIA INSTALADA DE 137 HP, MESA ROTATIVA COM TORQUE MÁXIMO DE 30 KNM - CHI DIURNO. AF_06/2015</t>
  </si>
  <si>
    <t>PERFURATRIZ PNEUMATICA MANUAL DE PESO MEDIO, MARTELETE, 18KG, COMPRIMENTO MÁXIMO DE CURSO DE 6 M, DIAMETRO DO PISTAO DE 5,5 CM - CHI DIURNO. AF_11/2016</t>
  </si>
  <si>
    <t>FABRICAÇÃO DE FÔRMA PARA PILARES E ESTRUTURAS SIMILARES, EM MADEIRA SERRADA, E=25 MM. AF_12/2015</t>
  </si>
  <si>
    <t>MONTAGEM E DESMONTAGEM DE FÔRMA DE PILARES RETANGULARES E ESTRUTURAS SIMILARES COM ÁREA MÉDIA DAS SEÇÕES MAIOR QUE 0,25 M², PÉ-DIREITO SIMPLES, EM MADEIRA SERRADA, 2 UTILIZAÇÕES. AF_12/2015</t>
  </si>
  <si>
    <t>ARMAÇÃO VERTICAL DE ALVENARIA ESTRUTURAL; DIÂMETRO DE 10,0 MM. AF_01/2015</t>
  </si>
  <si>
    <t>ARMAÇÃO DE CINTA DE ALVENARIA ESTRUTURAL; DIÂMETRO DE 10,0 MM. AF_01/2015</t>
  </si>
  <si>
    <t>CORTE E DOBRA DE AÇO CA-50, DIÂMETRO DE 16,0 MM, UTILIZADO EM ESTRUTURAS DIVERSAS, EXCETO LAJES. AF_12/2015</t>
  </si>
  <si>
    <t>CORTE E DOBRA DE AÇO CA-50, DIÂMETRO DE 6,3 MM, UTILIZADO EM LAJE. AF_12/2015</t>
  </si>
  <si>
    <t>MONTAGEM DE ARMADURA LONGITUDINAL DE ESTACAS DE SEÇÃO CIRCULAR, DIÂMETRO = 16,0 MM. AF_11/2016</t>
  </si>
  <si>
    <t>GRAUTEAMENTO VERTICAL EM ALVENARIA ESTRUTURAL. AF_01/2015</t>
  </si>
  <si>
    <t>GRAUTEAMENTO DE CINTA SUPERIOR OU DE VERGA EM ALVENARIA ESTRUTURAL. AF_01/2015</t>
  </si>
  <si>
    <t>GRAUTE FGK=20 MPA; TRAÇO 1:0,04:1,6:1,9 (CIMENTO/ CAL/ AREIA GROSSA/ BRITA 0) - PREPARO MECÂNICO COM BETONEIRA 400 L. AF_02/2015</t>
  </si>
  <si>
    <t>CONCRETO FCK = 25MPA, TRAÇO 1:2,3:2,7 (CIMENTO/ AREIA MÉDIA/ BRITA 1)  - PREPARO MECÂNICO COM BETONEIRA 600 L. AF_07/2016</t>
  </si>
  <si>
    <t>CONCRETO FCK = 30MPA, TRAÇO 1:2,1:2,5 (CIMENTO/ AREIA MÉDIA/ BRITA 1)  - PREPARO MECÂNICO COM BETONEIRA 600 L. AF_07/2016</t>
  </si>
  <si>
    <t>CONCRETO MAGRO PARA LASTRO, TRAÇO 1:4,5:4,5 (CIMENTO/ AREIA MÉDIA/ BRITA 1)  - PREPARO MANUAL. AF_07/2016</t>
  </si>
  <si>
    <t>PEÇA RETANGULAR PRÉ-MOLDADA, VOLUME DE CONCRETO DE 10 A 30 LITROS, TAXA DE AÇO APROXIMADA DE 30KG/M³. AF_01/2018</t>
  </si>
  <si>
    <t>PEÇA RETANGULAR PRÉ-MOLDADA, VOLUME DE CONCRETO DE 30 A 100 LITROS, TAXA DE AÇO APROXIMADA DE 30KG/M³. AF_01/2018</t>
  </si>
  <si>
    <t>FIXAÇÃO DE TUBOS HORIZONTAIS DE PVC, CPVC OU COBRE DIÂMETROS MENORES OU IGUAIS A 40 MM OU ELETROCALHAS ATÉ 150MM DE LARGURA, COM ABRAÇADEIRA METÁLICA RÍGIDA TIPO D 1/2, FIXADA EM PERFILADO EM LAJE. AF_05/2015</t>
  </si>
  <si>
    <t>ALVENARIA DE VEDAÇÃO DE BLOCOS VAZADOS DE CONCRETO DE 9X19X39CM (ESPESSURA 9CM) DE PAREDES COM ÁREA LÍQUIDA MENOR QUE 6M² SEM VÃOS E ARGAMASSA DE ASSENTAMENTO COM PREPARO EM BETONEIRA. AF_06/2014</t>
  </si>
  <si>
    <t>CHAPISCO APLICADO EM ALVENARIAS E ESTRUTURAS DE CONCRETO INTERNAS, COM COLHER DE PEDREIRO.  ARGAMASSA TRAÇO 1:3 COM PREPARO EM BETONEIRA 400L. AF_06/2014</t>
  </si>
  <si>
    <t>EMBOÇO, PARA RECEBIMENTO DE CERÂMICA, EM ARGAMASSA TRAÇO 1:2:8, PREPARO MECÂNICO COM BETONEIRA 400L, APLICADO MANUALMENTE EM FACES INTERNAS DE PAREDES, PARA AMBIENTE COM ÁREA MENOR QUE 5M2, ESPESSURA DE 10MM, COM EXECUÇÃO DE TALISCAS. AF_06/2014</t>
  </si>
  <si>
    <t>ARGAMASSA TRAÇO 1:1:6 (EM VOLUME DE CIMENTO, CAL E AREIA MÉDIA ÚMIDA) PARA EMBOÇO/MASSA ÚNICA/ASSENTAMENTO DE ALVENARIA DE VEDAÇÃO, PREPARO MECÂNICO COM BETONEIRA 400 L. AF_08/2019</t>
  </si>
  <si>
    <t>ARGAMASSA TRAÇO 1:3 (EM VOLUME DE CIMENTO E AREIA MÉDIA ÚMIDA) PARA CONTRAPISO, PREPARO MECÂNICO COM BETONEIRA 400 L. AF_08/2019</t>
  </si>
  <si>
    <t>ARGAMASSA TRAÇO 1:3 (EM VOLUME DE CIMENTO E AREIA GROSSA ÚMIDA) PARA CHAPISCO CONVENCIONAL, PREPARO MECÂNICO COM BETONEIRA 400 L. AF_08/2019</t>
  </si>
  <si>
    <t>ARGAMASSA TRAÇO 1:1:6 (EM VOLUME DE CIMENTO, CAL E AREIA MÉDIA ÚMIDA) PARA EMBOÇO/MASSA ÚNICA/ASSENTAMENTO DE ALVENARIA DE VEDAÇÃO, PREPARO MANUAL. AF_08/2019</t>
  </si>
  <si>
    <t>ARGAMASSA TRAÇO 1:3 (EM VOLUME DE CIMENTO E AREIA MÉDIA ÚMIDA), PREPARO MECÂNICO COM BETONEIRA 400 L. AF_08/2019</t>
  </si>
  <si>
    <t>ARGAMASSA TRAÇO 1:2:9 (EM VOLUME DE CIMENTO, CAL E AREIA MÉDIA ÚMIDA) PARA EMBOÇO/MASSA ÚNICA/ASSENTAMENTO DE ALVENARIA DE VEDAÇÃO, PREPARO MECÂNICO COM BETONEIRA 400 L. AF_08/2019</t>
  </si>
  <si>
    <t>MARCAÇÃO DE PONTOS EM GABARITO OU CAVALETE. AF_10/2018</t>
  </si>
  <si>
    <t>ASSENTADOR DE TUBOS COM ENCARGOS COMPLEMENTARES</t>
  </si>
  <si>
    <t>AUXILIAR DE TOPÓGRAFO COM ENCARGOS COMPLEMENTARES</t>
  </si>
  <si>
    <t>ELETROTÉCNICO COM ENCARGOS COMPLEMENTARES</t>
  </si>
  <si>
    <t>MARMORISTA/GRANITEIRO COM ENCARGOS COMPLEMENTARES</t>
  </si>
  <si>
    <t>SOLDADOR COM ENCARGOS COMPLEMENTARES</t>
  </si>
  <si>
    <t>VIDRACEIRO COM ENCARGOS COMPLEMENTARES</t>
  </si>
  <si>
    <t>AUXILIAR DE ESCRITORIO COM ENCARGOS COMPLEMENTARES</t>
  </si>
  <si>
    <t>DESENHISTA PROJETISTA COM ENCARGOS COMPLEMENTARES</t>
  </si>
  <si>
    <t>TOPOGRAFO COM ENCARGOS COMPLEMENTARES</t>
  </si>
  <si>
    <t>ENGENHEIRO ELETRICISTA COM ENCARGOS COMPLEMENTARES</t>
  </si>
  <si>
    <t>AUXILIAR DE ALMOXARIFE COM ENCARGOS COMPLEMENTARES</t>
  </si>
  <si>
    <t>ABRACADEIRA EM ACO PARA AMARRACAO DE ELETRODUTOS, TIPO D, COM 1" E PARAFUSO DE FIXACAO</t>
  </si>
  <si>
    <t>ADESIVO ESTRUTURAL A BASE DE RESINA EPOXI, BICOMPONENTE, FLUIDO</t>
  </si>
  <si>
    <t>ADESIVO PARA TUBOS CPVC, *75* G</t>
  </si>
  <si>
    <t>ALICATE DE CRIMPAR RJ11, RJ12 E RJ45</t>
  </si>
  <si>
    <t>ARAME GALVANIZADO 16 BWG, D = 1,65MM (0,0166 KG/M)</t>
  </si>
  <si>
    <t>BATENTE/ PORTAL/ ADUELA/ MARCO MACICO, E= *3* CM, L= *13* CM, *60 CM A 120* CM X *210* CM, EM PINUS/ TAUARI/ VIROLA OU EQUIVALENTE DA REGIAO (NAO INCLUI ALIZARES)</t>
  </si>
  <si>
    <t>BRACO P/ LUMINARIA PUBLICA 1 X 1,50M ROMAGNOLE OU EQUIV</t>
  </si>
  <si>
    <t>BUCHA DE NYLON SEM ABA S6, COM PARAFUSO DE 4,20 X 40 MM EM ACO ZINCADO COM ROSCA SOBERBA, CABECA CHATA E FENDA PHILLIPS</t>
  </si>
  <si>
    <t>CABO DE COBRE NU 16 MM2 MEIO-DURO</t>
  </si>
  <si>
    <t>CABO DE COBRE NU 25 MM2 MEIO-DURO</t>
  </si>
  <si>
    <t>CABO DE COBRE NU 35 MM2 MEIO-DURO</t>
  </si>
  <si>
    <t>CABO DE COBRE NU 50 MM2 MEIO-DURO</t>
  </si>
  <si>
    <t>CABO DE COBRE NU 70 MM2 MEIO-DURO</t>
  </si>
  <si>
    <t>CAIXA DE PASSAGEM, EM PVC, DE 4" X 2", PARA ELETRODUTO FLEXIVEL CORRUGADO</t>
  </si>
  <si>
    <t>CAIXA DE PASSAGEM, EM PVC, DE 4" X 4", PARA ELETRODUTO FLEXIVEL CORRUGADO</t>
  </si>
  <si>
    <t>CAIXA INSPECAO EM POLIETILENO PARA ATERRAMENTO E PARA RAIOS DIAMETRO = 300 MM</t>
  </si>
  <si>
    <t>CANTONEIRA ALUMINIO ABAS IGUAIS 1 ", E = 3 /16 "</t>
  </si>
  <si>
    <t>CAPA PARA CHUVA EM PVC COM FORRO DE POLIESTER, COM CAPUZ (AMARELA OU AZUL)</t>
  </si>
  <si>
    <t>CHAPA DE ACO GALVANIZADA BITOLA GSG 16, E = 1,55 MM (12,40 KG/M2)</t>
  </si>
  <si>
    <t>CHAPA DE LAMINADO MELAMINICO, TEXTURIZADO, DE *1,25 X 3,08* M, E = 0,8 MM</t>
  </si>
  <si>
    <t>CHAPA DE MADEIRA COMPENSADA PLASTIFICADA PARA FORMA DE CONCRETO, DE 2,20 x 1,10 M, E = 18 MM</t>
  </si>
  <si>
    <t>CHAPA DE MDF BRANCO LISO 1 FACE, E = 6 MM, DE *2,75 X 1,85* M</t>
  </si>
  <si>
    <t>CHAPA DE MDF BRANCO LISO 2 FACES, E = 15 MM, DE *2,75 X 1,85* M</t>
  </si>
  <si>
    <t>CHAPA DE MDF BRANCO LISO 2 FACES, E = 18 MM, DE *2,75 X 1,85* M</t>
  </si>
  <si>
    <t>CONCRETO USINADO BOMBEAVEL, CLASSE DE RESISTENCIA C20,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</si>
  <si>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</si>
  <si>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</si>
  <si>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</si>
  <si>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</si>
  <si>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</si>
  <si>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</si>
  <si>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</si>
  <si>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</si>
  <si>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</si>
  <si>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T, PARA ELETRODUTO ROSCAVEL DE 2", COM TAMPA CEGA</t>
  </si>
  <si>
    <t>CONE DE SINALIZACAO EM PVC RIGIDO COM FAIXA REFLETIVA, H = 70 / 76 CM</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</si>
  <si>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</si>
  <si>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</si>
  <si>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</si>
  <si>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</si>
  <si>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</si>
  <si>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</si>
  <si>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</si>
  <si>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</si>
  <si>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</si>
  <si>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</si>
  <si>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</si>
  <si>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</si>
  <si>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</si>
  <si>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</si>
  <si>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</si>
  <si>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</si>
  <si>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</si>
  <si>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</si>
  <si>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</si>
  <si>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2", PARA ELETRODUTO</t>
  </si>
  <si>
    <t>CURVA 90 GRAUS, LONGA, DE PVC RIGIDO ROSCAVEL, DE 3",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</si>
  <si>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</si>
  <si>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</si>
  <si>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</si>
  <si>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</si>
  <si>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</si>
  <si>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</si>
  <si>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</si>
  <si>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</si>
  <si>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</si>
  <si>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DOBRADICA EM ACO/FERRO, 3 1/2" X  3", E= 1,9  A 2 MM, COM ANEL,  CROMADO OU ZINCADO, TAMPA BOLA, COM PARAFUSOS</t>
  </si>
  <si>
    <t>ELETRODUTO DE PVC RIGIDO ROSCAVEL DE 1 ", SEM LUVA</t>
  </si>
  <si>
    <t>ELETRODUTO DE PVC RIGIDO ROSCAVEL DE 1 1/2 ", SEM LUVA</t>
  </si>
  <si>
    <t>ELETRODUTO DE PVC RIGIDO ROSCAVEL DE 1 1/4 ", SEM LUVA</t>
  </si>
  <si>
    <t>ELETRODUTO DE PVC RIGIDO ROSCAVEL DE 2 ", SEM LUVA</t>
  </si>
  <si>
    <t>ELETRODUTO DE PVC RIGIDO ROSCAVEL DE 3 ", SEM LUVA</t>
  </si>
  <si>
    <t>ELETRODUTO DE PVC RIGIDO ROSCAVEL DE 3/4 ", SEM LUVA</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</si>
  <si>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</si>
  <si>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</si>
  <si>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</si>
  <si>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60 MM (2"), TIPO SEALTUBO</t>
  </si>
  <si>
    <t>ELETRODUTO PVC FLEXIVEL CORRUGADO, REFORCADO, COR LARANJA, DE 25 MM, PARA LAJES E PISOS</t>
  </si>
  <si>
    <t>ELETRODUTO PVC FLEXIVEL CORRUGADO, REFORCADO, COR LARANJA, DE 32 MM, PARA LAJES E PISOS</t>
  </si>
  <si>
    <t>ELETRODUTO/DUTO PEAD FLEXIVEL PAREDE SIMPLES, CORRUGACAO HELICOIDAL, COR PRETA, SEM ROSCA, DE 2",  PARA CABEAMENTO SUBTERRANEO (NBR 15715)</t>
  </si>
  <si>
    <t>ELETRODUTODUTO PEAD FLEXIVEL PAREDE SIMPLES, CORRUGACAO HELICOIDAL, COR PRETA, SEM ROSCA, DE 1 1/4",  PARA CABEAMENTO SUBTERRANEO (NBR 15715)</t>
  </si>
  <si>
    <t>ENDURECEDOR MINERAL DE BASE CIMENTICIA PARA PISO DE CONCRETO</t>
  </si>
  <si>
    <t>FITA DE PAPEL REFORCADA COM LAMINA DE METAL PARA REFORCO DE CANTOS DE CHAPA DE GESSO PARA DRYWALL</t>
  </si>
  <si>
    <t>FITA ISOLANTE ADESIVA ANTICHAMA, USO ATE 750 V, EM ROLO DE 19 MM X 5 M</t>
  </si>
  <si>
    <t>FUSIVEL DIAZED 35 A TAMANHO DIII, CAPACIDADE DE INTERRUPCAO DE 50 KA EM VCA E 8 KA EM VCC, TENSAO NOMIMNAL DE 500 V</t>
  </si>
  <si>
    <t>GEOTEXTIL NAO TECIDO AGULHADO DE FILAMENTOS CONTINUOS 100% POLIESTER, RESITENCIA A TRACAO = 31 KN/M</t>
  </si>
  <si>
    <t>GRANILHA/ GRANA/ PEDRISCO OU AGREGADO EM MARMORE/ GRANITO/ QUARTZO E CALCARIO, PRETO, CINZA, PALHA OU BRANCO</t>
  </si>
  <si>
    <t>GRANITO PARA BANCADA, POLIDO, TIPO ANDORINHA/ QUARTZ/ CASTELO/ CORUMBA OU OUTROS EQUIVALENTES DA REGIAO, E=  *2,5* CM</t>
  </si>
  <si>
    <t>GUARNICAO/ ALIZAR/ VISTA MACICA, E= *1* CM, L= *4,5* CM, EM CEDRINHO/ ANGELIM COMERCIAL/  EUCALIPTO/ CURUPIXA/ PEROBA/ CUMARU OU EQUIVALENTE DA REGIAO</t>
  </si>
  <si>
    <t>LAMPADA FLUORESCENTE COMPACTA 2U BRANCA 15 W, BASE E27 (127/220 V)</t>
  </si>
  <si>
    <t>LUMINARIA DE LED PARA ILUMINACAO PUBLICA, DE 51 W ATE 67 W, INVOLUCRO EM ALUMINIO OU ACO INOX</t>
  </si>
  <si>
    <t>LUMINARIA DE LED PARA ILUMINACAO PUBLICA, DE 98 W ATE 137 W, INVOLUCRO EM ALUMINIO OU ACO INOX</t>
  </si>
  <si>
    <t>LUMINARIA PLAFON REDONDO COM VIDRO FOSCO DIAMETRO *30* CM, PARA 2 LAMPADAS, BASE E27, POTENCIA MAXIMA 40/60 W (NAO INCLUI LAMPADAS)</t>
  </si>
  <si>
    <t>LUVA EM PVC RIGIDO ROSCAVEL, DE 1 1/2", PARA ELETRODUTO</t>
  </si>
  <si>
    <t>LUVA EM PVC RIGIDO ROSCAVEL, DE 1 1/4", PARA ELETRODUTO</t>
  </si>
  <si>
    <t>LUVA EM PVC RIGIDO ROSCAVEL, DE 1", PARA ELETRODUTO</t>
  </si>
  <si>
    <t>LUVA EM PVC RIGIDO ROSCAVEL, DE 2", PARA ELETRODUTO</t>
  </si>
  <si>
    <t>LUVA EM PVC RIGIDO ROSCAVEL, DE 3/4", PARA ELETRODUTO</t>
  </si>
  <si>
    <t>LUVA EM PVC RIGIDO ROSCAVEL, DE 3",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</si>
  <si>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</si>
  <si>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</si>
  <si>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</si>
  <si>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</si>
  <si>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</si>
  <si>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</si>
  <si>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</si>
  <si>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</si>
  <si>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</si>
  <si>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MASSA PLASTICA PARA MARMORE/GRANITO</t>
  </si>
  <si>
    <t>MASTRO SIMPLES GALVANIZADO DIAMETRO NOMINAL 2", COMPRIMENTO 3 M</t>
  </si>
  <si>
    <t>PARA-RAIOS TIPO FRANKLIN 350 MM, EM LATAO CROMADO, DUAS DESCIDAS, PARA PROTECAO DE EDIFICACOES CONTRA DESCARGAS ATMOSFERICAS</t>
  </si>
  <si>
    <t>PINO DE ACO COM FURO, HASTE = 27 MM (ACAO DIRETA)</t>
  </si>
  <si>
    <t>PISO DE BORRACHA PASTILHADO EM PLACAS 50 X 50 CM, E = *3,5* MM, PARA COLA, PRETO</t>
  </si>
  <si>
    <t>PLACA/TAMPA CEGA EM LATAO ESCOVADO PARA CONDULETE EM LIGA DE ALUMINIO 4 X 4"</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</si>
  <si>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</si>
  <si>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</si>
  <si>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</si>
  <si>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PREGO DE ACO POLIDO COM CABECA DUPLA 17 X 27 (2 1/2 X 11)</t>
  </si>
  <si>
    <t>PREGO DE ACO POLIDO COM CABECA 17 X 27 (2 1/2 X 11)</t>
  </si>
  <si>
    <t>PREGO DE ACO POLIDO SEM CABECA 15 X 15 (1 1/4 X 13)</t>
  </si>
  <si>
    <t>PROTETOR SOLAR FPS 30, EMBALAGEM 2 LITROS</t>
  </si>
  <si>
    <t>PULSADOR CAMPAINHA 10A, 250V (APENAS MODULO)</t>
  </si>
  <si>
    <t>QUADRO DE DISTRIBUICAO COM BARRAMENTO TRIFASICO, DE SOBREPOR, EM CHAPA DE ACO GALVANIZADO, PARA 18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</si>
  <si>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</si>
  <si>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</si>
  <si>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</si>
  <si>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RODAPE DE MADEIRA MACICA CUMARU/IPE CHAMPANHE OU EQUIVALENTE DA REGIAO, *1,5 X 7 CM</t>
  </si>
  <si>
    <t>SENSOR DE PRESENCA BIVOLT COM FOTOCELULA PARA QUALQUER TIPO DE LAMPADA, POTENCIA MAXIMA *1000* W, USO EXTERNO</t>
  </si>
  <si>
    <t>SUPORTE MAO-FRANCESA EM ACO, ABAS IGUAIS 40 CM, CAPACIDADE MINIMA 70 KG, BRANCO</t>
  </si>
  <si>
    <t>TALABARTE DE SEGURANCA, 2 MOSQUETOES TRAVA DUPLA *53* MM DE ABERTURA, COM ABSORVEDOR DE ENERGIA</t>
  </si>
  <si>
    <t>TAMPA PARA CONDULETE, EM PVC, PARA 1 MODULO RJ</t>
  </si>
  <si>
    <t>TAMPAO / TERMINAL / PLUG, D = 1 1/4" , PARA DUTO CORRUGADO PEAD (CABEAMENTO SUBTERRANEO)</t>
  </si>
  <si>
    <t>TAMPAO / TERMINAL / PLUG, D = 2" , PARA DUTO CORRUGADO PEAD (CABEAMENTO SUBTERRANEO)</t>
  </si>
  <si>
    <t>TAMPAO / TERMINAL / PLUG, D = 3" , PARA DUTO CORRUGADO PEAD (CABEAMENTO SUBTERRANEO)</t>
  </si>
  <si>
    <t>TAMPAO FOFO ARTICULADO, CLASSE D400 CARGA MAX 40 T, REDONDO TAMPA *600 MM, REDE PLUVIAL/ESGOTO</t>
  </si>
  <si>
    <t>TE MISTURADOR DE TRANSICAO, CPVC, COM ROSCA, 22 MM X 3/4", PARA AGUA QUENTE</t>
  </si>
  <si>
    <t>TELA DE ACO SOLDADA GALVANIZADA/ZINCADA PARA ALVENARIA, FIO  D = *1,20 A 1,70* MM, MALHA 15 X 15 MM, (C X L) *50 X 12* CM</t>
  </si>
  <si>
    <t>TELA DE ACO SOLDADA GALVANIZADA/ZINCADA PARA ALVENARIA, FIO D = *1,20 A 1,70* MM, MALHA 15 X 15 MM, (C X L) *50 X 7,5* CM</t>
  </si>
  <si>
    <t>TELA DE ARAME GALVANIZADA QUADRANGULAR / LOSANGULAR, FIO 2,77 MM (12 BWG), MALHA 5 X 5 CM, H = 2 M</t>
  </si>
  <si>
    <t>TELA EM METAL PARA ESTUQUE (DEPLOYE)</t>
  </si>
  <si>
    <t>TELA PLASTICA LARANJA, TIPO TAPUME PARA SINALIZACAO, MALHA RETANGULAR, ROLO 1.20 X 50 M (L X C)</t>
  </si>
  <si>
    <t>TELHA TRAPEZOIDAL EM ACO ZINCADO, SEM PINTURA, ALTURA DE APROXIMADAMENTE 40 MM, ESPESSURA DE 0,50 MM E LARGURA UTIL DE 980 MM</t>
  </si>
  <si>
    <t>TERMINAL A COMPRESSAO EM COBRE ESTANHADO PARA CABO 120 MM2, 1 FURO E 1 COMPRESSAO, PARA PARAFUSO DE FIXACAO M12</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</si>
  <si>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</si>
  <si>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</si>
  <si>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</si>
  <si>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</si>
  <si>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</si>
  <si>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METALICO A PRESSAO PARA 1 CABO DE 150 MM2, COM 1 FURO DE FIXACAO</t>
  </si>
  <si>
    <t>TERMINAL METALICO A PRESSAO PARA 1 CABO DE 185 MM2, COM 1 FURO DE FIXACAO</t>
  </si>
  <si>
    <t>TERMINAL METALICO A PRESSAO PARA 1 CABO DE 240 MM2, COM 1 FURO DE FIXACAO</t>
  </si>
  <si>
    <t>TERMINAL METALICO A PRESSAO PARA 1 CABO DE 300 MM2, COM 1 FURO DE FIXACAO</t>
  </si>
  <si>
    <t>TRAVA-QUEDAS EM ACO PARA CORDA DE 12 MM, EXTENSOR DE 25 X 300 MM, COM MOSQUETAO TIPO GANCHO TRAVA DUPLA</t>
  </si>
  <si>
    <t>TUBO ACO CARBONO SEM COSTURA 2", E= *3,91* MM, SCHEDULE 40, *5,43* KG/M</t>
  </si>
  <si>
    <t>TUBO ACO CARBONO SEM COSTURA 8", E= *8,18 MM, SCHEDULE 40, *42,55 KG/M</t>
  </si>
  <si>
    <t>TUBO CPVC, SOLDAVEL, 22 MM, AGUA QUENTE PREDIAL (NBR 15884)</t>
  </si>
  <si>
    <t>TUBO CPVC, SOLDAVEL, 28 MM, AGUA QUENTE PREDIAL (NBR 15884)</t>
  </si>
  <si>
    <t>TUBO MULTICAMADA PEX, DN *26* MM, PARA INSTALACOES A GAS (AMARELO)</t>
  </si>
  <si>
    <t>TUBO MULTICAMADA PEX, DN 20 MM, PARA INSTALACOES A GAS (AMARELO)</t>
  </si>
  <si>
    <t>VEU POLIESTER</t>
  </si>
  <si>
    <t>Obs: considerando rendimento informado na especificação técnica de um dos produtos indicados como referência comercial (Lata de 3,6L rende até 75 m²/demão).</t>
  </si>
  <si>
    <t>Obs: considerando rendimento informado na especificação técnica de produto equivalente da Suvinil (Lata de 3,6L rende até 100 m²/demão).</t>
  </si>
  <si>
    <t>SF-01235</t>
  </si>
  <si>
    <t>SF-01236</t>
  </si>
  <si>
    <t>SF-01240</t>
  </si>
  <si>
    <t>SF-01241</t>
  </si>
  <si>
    <t>SF-01242</t>
  </si>
  <si>
    <t>SF-01243</t>
  </si>
  <si>
    <t>SF-01244</t>
  </si>
  <si>
    <t>SF-01245</t>
  </si>
  <si>
    <t>SF-01246</t>
  </si>
  <si>
    <t>SF-01247</t>
  </si>
  <si>
    <t>SF-01248</t>
  </si>
  <si>
    <t>SF-01249</t>
  </si>
  <si>
    <t>SF-01250</t>
  </si>
  <si>
    <t>SF-01251</t>
  </si>
  <si>
    <t>SF-01252</t>
  </si>
  <si>
    <t>SF-01255</t>
  </si>
  <si>
    <t>SF-01256</t>
  </si>
  <si>
    <t>SF-01257</t>
  </si>
  <si>
    <t>SF-01258</t>
  </si>
  <si>
    <t>SF-01259</t>
  </si>
  <si>
    <t>SF-01260</t>
  </si>
  <si>
    <t>SF-01261</t>
  </si>
  <si>
    <t>SF-01262</t>
  </si>
  <si>
    <t>SF-01263</t>
  </si>
  <si>
    <t>SF-01264</t>
  </si>
  <si>
    <t>SF-01265</t>
  </si>
  <si>
    <t>SF-01266</t>
  </si>
  <si>
    <t>SF-01267</t>
  </si>
  <si>
    <t>SF-01268</t>
  </si>
  <si>
    <t>SF-01269</t>
  </si>
  <si>
    <t>SF-01270</t>
  </si>
  <si>
    <t>SF-01271</t>
  </si>
  <si>
    <t>SF-01272</t>
  </si>
  <si>
    <t>SF-01273</t>
  </si>
  <si>
    <t>SF-01278</t>
  </si>
  <si>
    <t>SF-01279</t>
  </si>
  <si>
    <t>SF-01280</t>
  </si>
  <si>
    <t>SF-01281</t>
  </si>
  <si>
    <t>SF-01282</t>
  </si>
  <si>
    <t>SF-01283</t>
  </si>
  <si>
    <t>SF-01284</t>
  </si>
  <si>
    <t>SF-01285</t>
  </si>
  <si>
    <t>SF-01286</t>
  </si>
  <si>
    <t>SF-01287</t>
  </si>
  <si>
    <t>SF-01288</t>
  </si>
  <si>
    <t>SF-01289</t>
  </si>
  <si>
    <t>ARAME RECOZIDO 16 BWG, D = 1,65 MM (0,016 KG/M) OU 18 BWG, D = 1,25 MM (0,01 KG/M)</t>
  </si>
  <si>
    <t>ARGAMASSA COLANTE TIPO AC III E</t>
  </si>
  <si>
    <t>BLOCO CERAMICO VAZADO PARA ALVENARIA DE VEDACAO, DE 9 X 19 X 19 CM (L X A X C)</t>
  </si>
  <si>
    <t>BLOCO DE CONCRETO ESTRUTURAL 14 X 19 X 34 CM, FBK 4,5 MPA (NBR 6136)</t>
  </si>
  <si>
    <t>BLOCO DE CONCRETO ESTRUTURAL 14 X 19 X 39 CM, FBK 4,5 MPA (NBR 6136)</t>
  </si>
  <si>
    <t>BLOCO DE CONCRETO ESTRUTURAL 19 X 19 X 39 CM, FBK 4,5 MPA (NBR 6136)</t>
  </si>
  <si>
    <t>BLOCO DE CONCRETO ESTRUTURAL 9 X 19 X 39 CM, FBK 4,5 MPA (NBR 6136)</t>
  </si>
  <si>
    <t>BLOCO DE VEDACAO DE CONCRETO, 9 X 19 X 39 CM (CLASSE C - NBR 6136)</t>
  </si>
  <si>
    <t>CANALETA DE CONCRETO ESTRUTURAL 14 X 19 X 39 CM, FBK 4,5 MPA (NBR 6136)</t>
  </si>
  <si>
    <t>CANALETA DE CONCRETO 19 X 19 X 19 CM (CLASSE C - NBR 6136)</t>
  </si>
  <si>
    <t>MEIO BLOCO DE CONCRETO ESTRUTURAL 14 X 19 X 19 CM, FBK 4,5 MPA (NBR 6136)</t>
  </si>
  <si>
    <t>REJUNTE EPOXI, QUALQUER COR</t>
  </si>
  <si>
    <t>TIJOLO CERAMICO MACICO COMUM *5 X 10 X 20* CM (L X A X C)</t>
  </si>
  <si>
    <t>TUBO ACO CARBONO SEM COSTURA 1 1/4", E= *3,56 MM, SCHEDULE 40, *3,38* KG/M</t>
  </si>
  <si>
    <t>TUBO ACO CARBONO SEM COSTURA 1", E= *3,38 MM, SCHEDULE 40, *2,50* KG/M</t>
  </si>
  <si>
    <t>TUBO ACO CARBONO SEM COSTURA 5", E= *6,55 MM, SCHEDULE 40, *21,75* KG/M</t>
  </si>
  <si>
    <t>TRANSPORTE COM CAMINHÃO BASCULANTE DE 6 M³, EM VIA URBANA PAVIMENTADA, DMT ATÉ 30 KM (UNIDADE: TXKM). AF_07/2020</t>
  </si>
  <si>
    <t>TRANSPORTE COM CAMINHÃO BASCULANTE DE 6 M³, EM VIA URBANA EM REVESTIMENTO PRIMÁRIO (UNIDADE: M3XKM). AF_07/2020</t>
  </si>
  <si>
    <t>TRANSPORTE COM CAMINHÃO BASCULANTE DE 6 M³, EM VIA URBANA PAVIMENTADA, DMT ATÉ 30 KM (UNIDADE: M3XKM). AF_07/2020</t>
  </si>
  <si>
    <t>CARGA, MANOBRA E DESCARGA DE SOLOS E MATERIAIS GRANULARES EM CAMINHÃO BASCULANTE 6 M³ - CARGA COM PÁ CARREGADEIRA (CAÇAMBA DE 1,7 A 2,8 M³ / 128 HP) E DESCARGA LIVRE (UNIDADE: M3). AF_07/2020</t>
  </si>
  <si>
    <t>Rejunte cimenticio, qualquer cor</t>
  </si>
  <si>
    <t>Argamassa colante tipo AC III</t>
  </si>
  <si>
    <t>Argamassa colante AC II</t>
  </si>
  <si>
    <t>Rejunte epoxi, qualquer cor</t>
  </si>
  <si>
    <t>Telha estrutural de fibrocimento esp. 8 mm largura útil 49 cm</t>
  </si>
  <si>
    <t>Massa rápida para recuperação</t>
  </si>
  <si>
    <t>Argamassa para recuperação</t>
  </si>
  <si>
    <t>Primer à base de resina acrílica</t>
  </si>
  <si>
    <t>Cumeeira metálica galvanizada GR 25 com espessura de 0,43 mm.</t>
  </si>
  <si>
    <t>Cumeeira metálica galvanizada GR 40 com espessura de 0,43 mm.</t>
  </si>
  <si>
    <t>Revestimento impermabilizante bloqueador de umidade</t>
  </si>
  <si>
    <t>Obs 1: Considerando consumo do adesivo estrutural 1,8 kg / m² / mm.</t>
  </si>
  <si>
    <t>Obs 2: Considerando consumo do selante 100 ml / cm de espessura.</t>
  </si>
  <si>
    <t>Zero</t>
  </si>
  <si>
    <t>Diferenciado</t>
  </si>
  <si>
    <t>Batedor/limitador inferior para box de correr, em material polimérico sintético</t>
  </si>
  <si>
    <t>Batedor/amortecedor lateral de borracha para box de correr.</t>
  </si>
  <si>
    <t>Batedor/limitador superior para roldana de box de correr, em material polimérico sintético</t>
  </si>
  <si>
    <t>Fonte: http://www.alpuxadores.com.br/baixar/catalogo.pdf</t>
  </si>
  <si>
    <t>Ref.: AL Indústria Ref.: AL-63</t>
  </si>
  <si>
    <t>Ref.: AL Indústria Ref.: AL-BX-02</t>
  </si>
  <si>
    <t>Ref.: AL Indústria Ref.: AL-BX-07</t>
  </si>
  <si>
    <t>Ref.: AL Indústria Ref.: AL-BX-08</t>
  </si>
  <si>
    <t>Ref.: AL Indústria Ref.: AL-BX-03</t>
  </si>
  <si>
    <t>Ref.: AL Indústria Ref.: AL-BX-01</t>
  </si>
  <si>
    <t>Ref.: AL Indústria Ref.: AL-BX-05</t>
  </si>
  <si>
    <t>Ref.: AL Indústria Ref.: AL-BX-06</t>
  </si>
  <si>
    <t>Misturador de mesa para cozinha, bica móvel, cromado. Ref.: Deca Aspen 1256.C35 ou equivalente</t>
  </si>
  <si>
    <t>Misturador para bidê, ref: Deca Aspen 1895.C35 ou equivalente</t>
  </si>
  <si>
    <t>Bidê 3 furos branco ref: Deca Vogue Plus B.5.17 ou equivalente</t>
  </si>
  <si>
    <t>Chuveiro de metal cromado com tubo de parede, crivo regulável e restritor de vazão. Ref.: Deca Aspen 1967.C.CT ou equivalente</t>
  </si>
  <si>
    <t>Bacia Sanitária convencional branca ref: Deca Vogue Plus P.5.17 ou equivalente</t>
  </si>
  <si>
    <t>Misturador para lavatório de mesa bica alta, cromado. Ref.: Deca Aspen 1877.C35 ou equivalente</t>
  </si>
  <si>
    <t>Misturador de parede para cozinha, cromada. Ref.: Deca Aspen 1258.C35 ou equivalente</t>
  </si>
  <si>
    <t>Dobradiça metálica automática para vidro/vidro, utilizada em Box de vidro temperado, com porta de abrir. Ref.: Santa Marina, 1129.</t>
  </si>
  <si>
    <t>Lâmpada fluorescente compacta, 23W, ref: OSRAM Duluxstar DST STICK 23 W/865 220V E27</t>
  </si>
  <si>
    <t>Luminária tipo arandela, de sobrepor, dimensões (em mm) 250 x 250 x 73, base E27. Ref.: Taschibra-Arandela Embaú; Bronzearte - Bambu</t>
  </si>
  <si>
    <t>Base de válvula de descarga 1 1/2”</t>
  </si>
  <si>
    <t>Base de válvula de descarga 1 1/4”</t>
  </si>
  <si>
    <t>Cerâmica 30x60xm Glacier White (26109E) – Linha White Home – Portobello, ou similar</t>
  </si>
  <si>
    <t>Aquecedor elétrico individual automático, 5000W, 220V</t>
  </si>
  <si>
    <t>Prateleira com base em resina, com acabamento cromado. Ref: Deca Flex 2031.C.FLX ou equivalente</t>
  </si>
  <si>
    <t>Saboneteira com base em resina de alta resistência com espessura com acabamento cromado. Ref: Deca Flex 2010.C.FLX ou equivalente</t>
  </si>
  <si>
    <t>Campainha eletrônica de dois tons, 70 dB,  220V</t>
  </si>
  <si>
    <t>SF-01295</t>
  </si>
  <si>
    <t>SF-01296</t>
  </si>
  <si>
    <t>SF-01310</t>
  </si>
  <si>
    <t>SF-01311</t>
  </si>
  <si>
    <t>SF-01312</t>
  </si>
  <si>
    <t>SF-01313</t>
  </si>
  <si>
    <t>SF-01314</t>
  </si>
  <si>
    <t>SF-01315</t>
  </si>
  <si>
    <t>SF-01316</t>
  </si>
  <si>
    <t>SF-01317</t>
  </si>
  <si>
    <t>SF-01318</t>
  </si>
  <si>
    <t>SF-01319</t>
  </si>
  <si>
    <t>SF-01325</t>
  </si>
  <si>
    <t>SF-01326</t>
  </si>
  <si>
    <t>SF-01327</t>
  </si>
  <si>
    <t>SF-01328</t>
  </si>
  <si>
    <t>SF-01329</t>
  </si>
  <si>
    <t>Válvula gaveta com flange DN 125 (5" NPS)</t>
  </si>
  <si>
    <t>SF-01331</t>
  </si>
  <si>
    <t>SF-01332</t>
  </si>
  <si>
    <t>SF-01333</t>
  </si>
  <si>
    <t>SF-01334</t>
  </si>
  <si>
    <t>SF-01335</t>
  </si>
  <si>
    <t>SF-01336</t>
  </si>
  <si>
    <t>Eletroduto PEAD 2”</t>
  </si>
  <si>
    <t>SF-01339</t>
  </si>
  <si>
    <t>Tampa em Ferro Fundido - Circular DN-600 mm Classe 400</t>
  </si>
  <si>
    <t>Cambota elastomérica de 8" para suporte de tubulação industrial</t>
  </si>
  <si>
    <t>Curva raio curto 45° em aço carbono para solda de topo, SCH 40, DN 125 (5" NPS)</t>
  </si>
  <si>
    <t>Curva raio curto 90° em aço carbono para solda de topo, SCH 40, DN 125 (5" NPS)</t>
  </si>
  <si>
    <t>Curva raio longo 90° em aço carbono para solda de topo, SCH 40, DN 125 (5" NPS)</t>
  </si>
  <si>
    <t>Curva raio longo 90° em aço carbono para solda de topo, SCH 40, DN 200 (8" NPS)</t>
  </si>
  <si>
    <t>Eliminador de ar para líquidos com pressão máxima de operação de 10,5 kgf/cm2 (150 psi), DN 20 (3/4" NPS), conexão roscada</t>
  </si>
  <si>
    <t>Flange de pescoço em aço carbono, classe 150, DN 125 (5" NPS)</t>
  </si>
  <si>
    <t>isolamento elastomérico em formato de tubo ou coquilha de espessura M, próprio para tubulações de ferro de diâmetro nominal 5”. Ref.: AF/Armaflex M-48, K-Flex ST</t>
  </si>
  <si>
    <t>Meia luva em aço carbono, classe 3000 lbs, rosca BSP ou NPT, DN 15 (1/2" NPS)</t>
  </si>
  <si>
    <t>Redução concêntrica em aço carbono para solda de topo, SCH 40, diâmetro DN 200 (8" NPS) × DN 125 (5" NPS)</t>
  </si>
  <si>
    <t>Tê em aço carbono para solda de topo, SCH 40, diâmetro DN 200 (8" NPS)</t>
  </si>
  <si>
    <t>Cabo constituído por 12 fibras ópticas do tipo monomodo (9/125μm)</t>
  </si>
  <si>
    <t>Cabo constituído por 144 fibras ópticas do tipo monomodo (9/125μm)</t>
  </si>
  <si>
    <t>Chuveiro elétrico 7800W, 220V. Ref: Lorenzetti Acqua Storm Ultra</t>
  </si>
  <si>
    <t>FABRICAÇÃO DE FÔRMA PARA VIGAS, EM CHAPA DE MADEIRA COMPENSADA RESINADA, E = 17 MM. AF_09/2020</t>
  </si>
  <si>
    <t>FABRICAÇÃO DE FÔRMA PARA PILARES E ESTRUTURAS SIMILARES, EM MADEIRA SERRADA, E=25 MM. AF_09/2020</t>
  </si>
  <si>
    <t>FABRICAÇÃO DE ESCORAS DE VIGA DO TIPO GARFO, EM MADEIRA. AF_09/2020</t>
  </si>
  <si>
    <t>PREPARO DE FUNDO DE VALA COM LARGURA MAIOR OU IGUAL A 1,5 M E MENOR QUE 2,5 M (ACERTO DO SOLO NATURAL). AF_08/2020</t>
  </si>
  <si>
    <t>PREPARO DE FUNDO DE VALA COM LARGURA MENOR QUE 1,5 M, COM CAMADA DE BRITA, LANÇAMENTO MANUAL. AF_08/2020</t>
  </si>
  <si>
    <t>PREPARO DE FUNDO DE VALA COM LARGURA MENOR QUE 1,5 M, COM CAMADA DE BRITA, LANÇAMENTO MECANIZADO. AF_08/2020</t>
  </si>
  <si>
    <t>Obs.2: Inclusão de composições (abertas) Sinapi 100973 e 97914.</t>
  </si>
  <si>
    <t>BARRA DE FERRO CHATA, RETANGULAR (QUALQUER BITOLA)</t>
  </si>
  <si>
    <t>CAIBRO 5 X 5 CM EM PINUS, MISTA OU EQUIVALENTE DA REGIAO - BRUTA</t>
  </si>
  <si>
    <t>CANTONEIRA (ABAS IGUAIS) EM FERRO GALVANIZADO, 25,4 MM X 3,17 MM (L X E), 0,86 KG/M</t>
  </si>
  <si>
    <t>GESSO EM PO PARA REVESTIMENTOS/MOLDURAS/SANCAS E USO GERAL</t>
  </si>
  <si>
    <t>LONA PLASTICA EXTRA FORTE PRETA, E = 200 MICRA</t>
  </si>
  <si>
    <t>MASSA DE REJUNTE EM PO PARA DRYWALL, A BASE DE GESSO, SECAGEM RAPIDA, PARA TRATAMENTO DE JUNTAS DE CHAPA DE GESSO (NECESSITA ADICAO DE AGUA)</t>
  </si>
  <si>
    <t>MEIO-FIO OU GUIA DE CONCRETO PRE-MOLDADO, TIPO CHAPEU PARA BOCA DE LOBO,  DIMENSOES *1,20* X 0,15 X 0,30 M</t>
  </si>
  <si>
    <t>MEIO-FIO OU GUIA DE CONCRETO, PRE-MOLDADO, COMP 1 M, *30 X 12/15* CM (H X L1/L2)</t>
  </si>
  <si>
    <t>PLACA / CHAPA DE GESSO ACARTONADO, STANDARD (ST), COR BRANCA, E = 12,5 MM, 1200 X 2400 MM (L X C)</t>
  </si>
  <si>
    <t>PLACA DE GESSO PARA FORRO, *60 X 60* CM, ESPESSURA DE 12 MM (SEM COLOCACAO)</t>
  </si>
  <si>
    <t>PONTALETE *7,5 X 7,5* CM EM PINUS, MISTA OU EQUIVALENTE DA REGIAO - BRUTA</t>
  </si>
  <si>
    <t>SARRAFO *2,5 X 10* CM EM PINUS, MISTA OU EQUIVALENTE DA REGIAO - BRUTA</t>
  </si>
  <si>
    <t>SARRAFO *2,5 X 7,5* CM EM PINUS, MISTA OU EQUIVALENTE DA REGIAO - BRUTA</t>
  </si>
  <si>
    <t>TABUA *2,5 X 23* CM EM PINUS, MISTA OU EQUIVALENTE DA REGIAO - BRUTA</t>
  </si>
  <si>
    <t>TABUA *2,5 X 30 CM EM PINUS, MISTA OU EQUIVALENTE DA REGIAO - BRUTA</t>
  </si>
  <si>
    <t>SF-01342</t>
  </si>
  <si>
    <t>SF-01343</t>
  </si>
  <si>
    <t>PREÇO TOTAL</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</si>
  <si>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</si>
  <si>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</si>
  <si>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</si>
  <si>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ESPELHO PARA PORTA DE BANHEIRO, EM ACO INOX (MAQUINA, TESTA E CONTRA-TESTA) E EM ZAMAC (MACANETA, LINGUETA E TRINCOS) COM ACABAMENTO CROMADO, MAQUINA DE 40 MM, INCLUINDO CHAVE TIPO TRANQUETA</t>
  </si>
  <si>
    <t>FECHADURA ESPELHO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</si>
  <si>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40 MM, INCLUINDO CHAVE TIPO CILINDRO</t>
  </si>
  <si>
    <t>LOCACAO DE ANDAIME METALICO TUBULAR DE ENCAIXE, TIPO DE TORRE, COM LARGURA DE 1 ATE 1,5 M E ALTURA DE *1,00* M (INCLUSO SAPATAS FIXAS OU RODIZIOS)</t>
  </si>
  <si>
    <t>PORTA DE ABRIR / GIRO, DE MADEIRA FOLHA MEDIA (NBR 15930) DE 1000 X 2100 MM, DE 35 MM A 40 MM DE ESPESSURA, NUCLEO SEMI-SOLIDO (SARRAFEADO), CAPA LISA EM HDF, ACABAMENTO EM LAMINADO NATURAL PARA VERNIZ</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</si>
  <si>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</si>
  <si>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</si>
  <si>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</si>
  <si>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</si>
  <si>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</si>
  <si>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</si>
  <si>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LAMINADO NATURAL PARA VERNIZ</t>
  </si>
  <si>
    <t>PUXADOR TIPO ALCA, EM ZAMAC CROMADO, COM ROSETAS, COMPRIMENTO DE APROX *100* MM, PARA PORTAS E JANELAS DE MADEIRA, INCLUINDO PARAFUSOS</t>
  </si>
  <si>
    <t>TARJETA LIVRE / OCUPADO PARA PORTA DE BANHEIRO, CORPO EM ZAMAC E ESPELHO EM LATAO</t>
  </si>
  <si>
    <t>TINTA EPOXI BASE AGUA PREMIUM, BRANCA</t>
  </si>
  <si>
    <t>CAIBRO NAO APARELHADO  *7,5 X 7,5* CM, EM MACARANDUBA, ANGELIM OU EQUIVALENTE DA REGIAO -  BRUTA</t>
  </si>
  <si>
    <t>REDUCAO EXCENTRICA PVC, SERIE R, DN 150 X 100 MM, PARA ESGOTO OU AGUAS PLUVIAIS PREDIAIS</t>
  </si>
  <si>
    <t>SARRAFO NAO APARELHADO *2,5 X 10* CM, EM MACARANDUBA, ANGELIM OU EQUIVALENTE DA REGIAO -  BRUTA</t>
  </si>
  <si>
    <t>SARRAFO NAO APARELHADO *2,5 X 7* CM, EM MACARANDUBA, ANGELIM OU EQUIVALENTE DA REGIAO -  BRUTA</t>
  </si>
  <si>
    <t>TABUA  NAO  APARELHADA  *2,5 X 20* CM, EM MACARANDUBA, ANGELIM OU EQUIVALENTE DA REGIAO - BRUTA</t>
  </si>
  <si>
    <t>TABUA NAO APARELHADA *2,5 X 30* CM, EM MACARANDUBA, ANGELIM OU EQUIVALENTE DA REGIAO - BRUTA</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</si>
  <si>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</si>
  <si>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</si>
  <si>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</si>
  <si>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</si>
  <si>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</si>
  <si>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SF-01347</t>
  </si>
  <si>
    <t>SF-01348</t>
  </si>
  <si>
    <t>SF-01349</t>
  </si>
  <si>
    <t>SF-01350</t>
  </si>
  <si>
    <t>SF-01351</t>
  </si>
  <si>
    <t>SF-01352</t>
  </si>
  <si>
    <t>SF-01353</t>
  </si>
  <si>
    <t>SF-01354</t>
  </si>
  <si>
    <t>SF-01355</t>
  </si>
  <si>
    <t>SF-01356</t>
  </si>
  <si>
    <t>SF-01357</t>
  </si>
  <si>
    <t>SF-01358</t>
  </si>
  <si>
    <t>SF-01359</t>
  </si>
  <si>
    <t>SF-01360</t>
  </si>
  <si>
    <t>SF-01361</t>
  </si>
  <si>
    <t>SF-01362</t>
  </si>
  <si>
    <t>SF-01363</t>
  </si>
  <si>
    <t>SF-01364</t>
  </si>
  <si>
    <t>SF-01365</t>
  </si>
  <si>
    <t>SF-01366</t>
  </si>
  <si>
    <t>SF-01367</t>
  </si>
  <si>
    <t>SF-01368</t>
  </si>
  <si>
    <t>SF-01369</t>
  </si>
  <si>
    <t>SF-01370</t>
  </si>
  <si>
    <t>SF-01371</t>
  </si>
  <si>
    <t>SF-01372</t>
  </si>
  <si>
    <t>SF-01373</t>
  </si>
  <si>
    <t>SF-01374</t>
  </si>
  <si>
    <t>SF-01375</t>
  </si>
  <si>
    <t>SF-01376</t>
  </si>
  <si>
    <t>SF-01377</t>
  </si>
  <si>
    <t>SF-01378</t>
  </si>
  <si>
    <t>Bloco autônomo de emergência 1000 lumens – fornecimento e instalação</t>
  </si>
  <si>
    <t>Cabo Ethernet blindado</t>
  </si>
  <si>
    <t>Cabo de fibra óptica multimodo 12 fibras</t>
  </si>
  <si>
    <t>Cabos de cobre para comunicação CANbus</t>
  </si>
  <si>
    <t>Cabos de cobre para comunicação padrão RS-485</t>
  </si>
  <si>
    <t>Condulete de alumínio de 2”</t>
  </si>
  <si>
    <t>Cabo de potência, 8,7 kV/15 kV, 95 mm²</t>
  </si>
  <si>
    <t>Cabo de potência, 8,7 kV/15 kV, 240 mm²</t>
  </si>
  <si>
    <t>Distribuidor Interno Óptico Industrial – fornecimento e instalação</t>
  </si>
  <si>
    <t>Eletroduto PEAD 5”</t>
  </si>
  <si>
    <t>Grupo motor-gerador 500 kVA</t>
  </si>
  <si>
    <t>Interruptor duplo para condulete</t>
  </si>
  <si>
    <t>Leito 400x100 mm</t>
  </si>
  <si>
    <t>Leito 600x100 mm</t>
  </si>
  <si>
    <t>Luminária 2x28 W hermética de sobrepor</t>
  </si>
  <si>
    <t>Luminária LED para poste 60 W</t>
  </si>
  <si>
    <t>Luminária LED para poste 120 W</t>
  </si>
  <si>
    <t>Painel para serviços auxiliares – PAUX</t>
  </si>
  <si>
    <t>Painel para sistema de automação e comunicação – QAUT-GER</t>
  </si>
  <si>
    <t>Painel de distribuição em média tensão – PMT-GER</t>
  </si>
  <si>
    <t>Painel de paralelismo dos geradores – PBT-GER</t>
  </si>
  <si>
    <t>Painel para a galeria técnica – QGAL</t>
  </si>
  <si>
    <t>Poste curvo simples 8 metros</t>
  </si>
  <si>
    <t>Caixa de Passagem Subterrânea 300x300x500mm</t>
  </si>
  <si>
    <t>Quadro de transferência automática - QTA</t>
  </si>
  <si>
    <t>Quadro de transferência automática para sistemas auxiliares – QTA-GER</t>
  </si>
  <si>
    <t>Caixa de Passagem Subterrânea 600x600x800mm</t>
  </si>
  <si>
    <t>Sistema de energia ininterrupta</t>
  </si>
  <si>
    <t>Kit terminal para cabo de potência, 8,7 kV/15 kV, 95 mm²</t>
  </si>
  <si>
    <t>Kit terminal para cabo de potência, 8,7 kV/15 kV, 240 mm²</t>
  </si>
  <si>
    <t>Tomada para condulete (20 A)</t>
  </si>
  <si>
    <t>Transformador a seco 2000 kVA</t>
  </si>
  <si>
    <t>Cabo de cobre nu 50 mm²</t>
  </si>
  <si>
    <t>Eletrocentro</t>
  </si>
  <si>
    <t>Haste de aterramento 3/4” x 3 m</t>
  </si>
  <si>
    <t>Leito 800x100 mm</t>
  </si>
  <si>
    <t>Engenheiro(a) eletricista pleno</t>
  </si>
  <si>
    <t>Manutenção on site – Grupo motor-gerador e instalações associadas</t>
  </si>
  <si>
    <t>Mão francesa metálica dupla</t>
  </si>
  <si>
    <t>Óleo diesel</t>
  </si>
  <si>
    <t>Painel de baixa tensão para áreas externas – QEXT</t>
  </si>
  <si>
    <t>Projeto executivo de engenharia elétrica</t>
  </si>
  <si>
    <t>Projeto executivo do eletrocentro</t>
  </si>
  <si>
    <t>Remoção de sistema de automação de QTAs</t>
  </si>
  <si>
    <t>Retrofit do sistema de comando/controle do painel de média tensão de distribuição</t>
  </si>
  <si>
    <t>Retrofit do controlador da chave de transferência automática da SE-UA</t>
  </si>
  <si>
    <t>Substituição dos Quadros de Transferência Automática</t>
  </si>
  <si>
    <t>Condutor 16 mm²</t>
  </si>
  <si>
    <t>Condutor 50 mm²</t>
  </si>
  <si>
    <t>Condutor 70 mm²</t>
  </si>
  <si>
    <t>Condutor 95 mm²</t>
  </si>
  <si>
    <t>Condutor 150 mm²</t>
  </si>
  <si>
    <t>Condutor 240 mm²</t>
  </si>
  <si>
    <t>Quadro 400x300x200 mm – fornecimento e instalação</t>
  </si>
  <si>
    <t>Concreto Usinado, fck = 25MPa</t>
  </si>
  <si>
    <t>Estaca escavada mecanicamente - 40cm de diâmetro</t>
  </si>
  <si>
    <t>Arrasamento mecânico de estacas de até 40cm de diâmetro</t>
  </si>
  <si>
    <t>Armação de aço CA-60 bitolas de 5,0mm a 8,00mm</t>
  </si>
  <si>
    <t>Pavimentação em concreto simples</t>
  </si>
  <si>
    <t>Tubo PVC esgoto ou águas pluviais predial DN 150mm</t>
  </si>
  <si>
    <t>Alvenaria Estrutural</t>
  </si>
  <si>
    <t>Boca de lobo simples em blocos de concreto, h=1,0 m</t>
  </si>
  <si>
    <t>Canaleta de concreto armado 30 cm x 30 cm com tampa</t>
  </si>
  <si>
    <t>Remoção de árvore, inclusive raiz</t>
  </si>
  <si>
    <t>Demolição de telhas</t>
  </si>
  <si>
    <t>Locação de obra</t>
  </si>
  <si>
    <t>Projeto Executivo de Instalação de Central de Geração de Energia – Obras civis - AT 31 e AT 32</t>
  </si>
  <si>
    <t>Poste reto 5 metros – fornecimento e instalação</t>
  </si>
  <si>
    <t>Suporte para luminária de poste simples – fornecimento e instalação</t>
  </si>
  <si>
    <t>SF-01384</t>
  </si>
  <si>
    <t>SF-01385</t>
  </si>
  <si>
    <t>SF-01386</t>
  </si>
  <si>
    <t>SF-01387</t>
  </si>
  <si>
    <t>SF-01388</t>
  </si>
  <si>
    <t>SF-01389</t>
  </si>
  <si>
    <t>SF-01390</t>
  </si>
  <si>
    <t>SF-01391</t>
  </si>
  <si>
    <t>SF-01392</t>
  </si>
  <si>
    <t>SF-01393</t>
  </si>
  <si>
    <t>SF-01394</t>
  </si>
  <si>
    <t>SF-01395</t>
  </si>
  <si>
    <t>SF-01397</t>
  </si>
  <si>
    <t>SF-01398</t>
  </si>
  <si>
    <t>SF-01399</t>
  </si>
  <si>
    <t>SF-01403</t>
  </si>
  <si>
    <t>SF-01404</t>
  </si>
  <si>
    <t>SF-01405</t>
  </si>
  <si>
    <t>SF-01406</t>
  </si>
  <si>
    <t>SF-01407</t>
  </si>
  <si>
    <t>SF-01408</t>
  </si>
  <si>
    <t>SF-01409</t>
  </si>
  <si>
    <t>SF-01410</t>
  </si>
  <si>
    <t>SF-01411</t>
  </si>
  <si>
    <t>SF-01412</t>
  </si>
  <si>
    <t>SF-01413</t>
  </si>
  <si>
    <t>SF-01414</t>
  </si>
  <si>
    <t>SF-01415</t>
  </si>
  <si>
    <t>SF-01416</t>
  </si>
  <si>
    <t>SF-01417</t>
  </si>
  <si>
    <t>SF-01418</t>
  </si>
  <si>
    <t>SF-01419</t>
  </si>
  <si>
    <t>SF-01420</t>
  </si>
  <si>
    <t>SF-01421</t>
  </si>
  <si>
    <t>SF-01422</t>
  </si>
  <si>
    <t>SF-01488</t>
  </si>
  <si>
    <t>SF-01494</t>
  </si>
  <si>
    <t>SF-01540</t>
  </si>
  <si>
    <t>SF-01541</t>
  </si>
  <si>
    <t>SF-01542</t>
  </si>
  <si>
    <t>SF-01543</t>
  </si>
  <si>
    <t>SF-01544</t>
  </si>
  <si>
    <t>SF-01546</t>
  </si>
  <si>
    <t>SF-01547</t>
  </si>
  <si>
    <t>SF-01561</t>
  </si>
  <si>
    <t>SF-01563</t>
  </si>
  <si>
    <t>SF-01564</t>
  </si>
  <si>
    <t>SF-01565</t>
  </si>
  <si>
    <t>SF-01566</t>
  </si>
  <si>
    <t>SF-01567</t>
  </si>
  <si>
    <t>SF-01568</t>
  </si>
  <si>
    <t>SF-01569</t>
  </si>
  <si>
    <t>SF-01570</t>
  </si>
  <si>
    <t>SF-01571</t>
  </si>
  <si>
    <t>SF-01572</t>
  </si>
  <si>
    <t>SF-01599</t>
  </si>
  <si>
    <t>SF-01600</t>
  </si>
  <si>
    <t>SF-01601</t>
  </si>
  <si>
    <t>SF-01602</t>
  </si>
  <si>
    <t>SF-01603</t>
  </si>
  <si>
    <t>SF-01807</t>
  </si>
  <si>
    <t>SF-01808</t>
  </si>
  <si>
    <t>SF-01809</t>
  </si>
  <si>
    <t>SF-01810</t>
  </si>
  <si>
    <t>SF-01811</t>
  </si>
  <si>
    <t>SF-01812</t>
  </si>
  <si>
    <t>SF-01813</t>
  </si>
  <si>
    <t>SF-01814</t>
  </si>
  <si>
    <t>SF-01824</t>
  </si>
  <si>
    <t>SF-01826</t>
  </si>
  <si>
    <t>SF-01827</t>
  </si>
  <si>
    <t>SF-01828</t>
  </si>
  <si>
    <t>SF-01829</t>
  </si>
  <si>
    <t>SF-01831</t>
  </si>
  <si>
    <t>SF-01832</t>
  </si>
  <si>
    <t>SF-01833</t>
  </si>
  <si>
    <t>SF-01834</t>
  </si>
  <si>
    <t>SF-01836</t>
  </si>
  <si>
    <t>SF-01837</t>
  </si>
  <si>
    <t>SF-01838</t>
  </si>
  <si>
    <t>SF-01839</t>
  </si>
  <si>
    <t>SF-01841</t>
  </si>
  <si>
    <t>SF-01842</t>
  </si>
  <si>
    <t>SF-01843</t>
  </si>
  <si>
    <t>SF-01844</t>
  </si>
  <si>
    <t>SF-01846</t>
  </si>
  <si>
    <t>SF-01847</t>
  </si>
  <si>
    <t>SF-01848</t>
  </si>
  <si>
    <t>SF-01849</t>
  </si>
  <si>
    <t>SF-01851</t>
  </si>
  <si>
    <t>SF-01853</t>
  </si>
  <si>
    <t>SF-01854</t>
  </si>
  <si>
    <t>SF-01856</t>
  </si>
  <si>
    <t>SF-01857</t>
  </si>
  <si>
    <t>SF-01858</t>
  </si>
  <si>
    <t>SF-01859</t>
  </si>
  <si>
    <t>SF-01861</t>
  </si>
  <si>
    <t>SF-01862</t>
  </si>
  <si>
    <t>SF-01863</t>
  </si>
  <si>
    <t>SF-01864</t>
  </si>
  <si>
    <t>SF-01866</t>
  </si>
  <si>
    <t>SF-01867</t>
  </si>
  <si>
    <t>SF-01868</t>
  </si>
  <si>
    <t>SF-01869</t>
  </si>
  <si>
    <t>SF-01871</t>
  </si>
  <si>
    <t>SF-01873</t>
  </si>
  <si>
    <t>SF-01875</t>
  </si>
  <si>
    <t>SF-01877</t>
  </si>
  <si>
    <t>SF-01879</t>
  </si>
  <si>
    <t>SF-01880</t>
  </si>
  <si>
    <t>SF-01881</t>
  </si>
  <si>
    <t>SF-01882</t>
  </si>
  <si>
    <t>SF-01883</t>
  </si>
  <si>
    <t>SF-01884</t>
  </si>
  <si>
    <t>SF-01885</t>
  </si>
  <si>
    <t>SF-01886</t>
  </si>
  <si>
    <t>SF-01887</t>
  </si>
  <si>
    <t>SF-01888</t>
  </si>
  <si>
    <t>SF-01889</t>
  </si>
  <si>
    <t>SF-01890</t>
  </si>
  <si>
    <t>SF-01891</t>
  </si>
  <si>
    <t>SF-01892</t>
  </si>
  <si>
    <t>SF-01893</t>
  </si>
  <si>
    <t>SF-01894</t>
  </si>
  <si>
    <t>SF-01895</t>
  </si>
  <si>
    <t>SF-01896</t>
  </si>
  <si>
    <t>SF-01897</t>
  </si>
  <si>
    <t>SF-01898</t>
  </si>
  <si>
    <t>SF-01899</t>
  </si>
  <si>
    <t>SF-01900</t>
  </si>
  <si>
    <t>SF-01901</t>
  </si>
  <si>
    <t>SF-01902</t>
  </si>
  <si>
    <t>SF-01915</t>
  </si>
  <si>
    <t>SF-01916</t>
  </si>
  <si>
    <t>SF-01917</t>
  </si>
  <si>
    <t>SF-01918</t>
  </si>
  <si>
    <t>SF-01919</t>
  </si>
  <si>
    <t>SF-01921</t>
  </si>
  <si>
    <t>SF-01923</t>
  </si>
  <si>
    <t>SF-01925</t>
  </si>
  <si>
    <t>SF-01928</t>
  </si>
  <si>
    <t>SF-01946</t>
  </si>
  <si>
    <t>SF-01948</t>
  </si>
  <si>
    <t>SF-01949</t>
  </si>
  <si>
    <t>SF-02082</t>
  </si>
  <si>
    <t>SF-02083</t>
  </si>
  <si>
    <t>SF-02091</t>
  </si>
  <si>
    <t>SF-02094</t>
  </si>
  <si>
    <t>SF-02095</t>
  </si>
  <si>
    <t>SF-02099</t>
  </si>
  <si>
    <t>SF-02212</t>
  </si>
  <si>
    <t>SF-02213</t>
  </si>
  <si>
    <t>SF-02214</t>
  </si>
  <si>
    <t>SF-02250</t>
  </si>
  <si>
    <t>SF-02285</t>
  </si>
  <si>
    <t>SF-02290</t>
  </si>
  <si>
    <t>SF-02294</t>
  </si>
  <si>
    <t>SF-02310</t>
  </si>
  <si>
    <t>SF-02328</t>
  </si>
  <si>
    <t>SF-02379</t>
  </si>
  <si>
    <t>SF-02389</t>
  </si>
  <si>
    <t>SF-02499</t>
  </si>
  <si>
    <t>SF-02588</t>
  </si>
  <si>
    <t>SF-02602</t>
  </si>
  <si>
    <t>SF-02603</t>
  </si>
  <si>
    <t>SF-02604</t>
  </si>
  <si>
    <t>SF-02605</t>
  </si>
  <si>
    <t>SF-02606</t>
  </si>
  <si>
    <t>SF-02607</t>
  </si>
  <si>
    <t>SF-02608</t>
  </si>
  <si>
    <t>SF-02609</t>
  </si>
  <si>
    <t>SF-02610</t>
  </si>
  <si>
    <t>SF-02611</t>
  </si>
  <si>
    <t>SF-02612</t>
  </si>
  <si>
    <t>SF-02613</t>
  </si>
  <si>
    <t>SF-02614</t>
  </si>
  <si>
    <t>SF-02615</t>
  </si>
  <si>
    <t>SF-02616</t>
  </si>
  <si>
    <t>SF-02617</t>
  </si>
  <si>
    <t>SF-02618</t>
  </si>
  <si>
    <t>Furo em concreto de 40mm até 75mm de diâmetro</t>
  </si>
  <si>
    <t>Lastro em concreto magro</t>
  </si>
  <si>
    <t>Condulete de alumínio de 1"</t>
  </si>
  <si>
    <t>Armação de aço CA-50 bitolas de 10,0 mm a 12,5 mm</t>
  </si>
  <si>
    <t>Armação de aço CA-50 bitolas de 16,0 mm a 25,0 mm</t>
  </si>
  <si>
    <t>ELETRODUTO DE AÇO GALVANIZADO ELETROLÍTICO TIPO LEVE - ROSCA NBR 8133 - ESP. 1,06MM - 3/4"</t>
  </si>
  <si>
    <t>ELETRODUTO DE AÇO GALVANIZADO ELETROLÍTICO TIPO LEVE - ROSCA NBR 8133 - ESP. 1,06MM - 1"</t>
  </si>
  <si>
    <t>ELETRODUTO DE AÇO GALVANIZADO ELETROLÍTICO TIPO LEVE - ROSCA NBR 8133 - ESP. 1,06MM - 1 1/4"</t>
  </si>
  <si>
    <t>ELETRODUTO DE AÇO GALVANIZADO ELETROLÍTICO TIPO LEVE - ROSCA NBR 8133 - ESP. 1,06MM - 1 1/2"</t>
  </si>
  <si>
    <t>ELETRODUTO DE AÇO GALVANIZADO ELETROLÍTICO TIPO LEVE - ROSCA NBR 8133 - ESP. 1,50MM - 2"</t>
  </si>
  <si>
    <t>ELETRODUTO DE AÇO GALVANIZADO ELETROLÍTICO TIPO LEVE - ROSCA NBR 8133 - ESP. 1,50MM - 2 1/2"</t>
  </si>
  <si>
    <t>ELETRODUTO DE AÇO GALVANIZADO ELETROLÍTICO TIPO LEVE - ROSCA NBR 8133 - ESP. 1,50MM - 3"</t>
  </si>
  <si>
    <t>ELETRODUTO DE AÇO GALVANIZADO ELETROLÍTICO TIPO LEVE - ROSCA NBR 8133 - ESP. 1,50MM - 4"</t>
  </si>
  <si>
    <t>BASE DE FUSÍVEL NH 00 ATÉ 160 A EM QUADRO DE DISTRIBUIÇÃO DE LUZ E FORÇA</t>
  </si>
  <si>
    <t>BASE DE FUSÍVEL NH 1 ATÉ 250 A EM QUADRO DE DISTRIBUIÇÃO DE LUZ E FORÇA</t>
  </si>
  <si>
    <t>BASE DE FUSÍVEL NH 2 ATÉ 400 A EM QUADRO DE DISTRIBUIÇÃO DE LUZ E FORÇA</t>
  </si>
  <si>
    <t>BASE DE FUSÍVEL NH 3 ATÉ 630 A EM QUADRO DE DISTRIBUIÇÃO DE FORÇA</t>
  </si>
  <si>
    <t>FUSÍVEL RETARDADO NH 00 COM INDICADOR DE TOPO 125 A</t>
  </si>
  <si>
    <t>FUSÍVEL RETARDADO NH 01 COM INDICADOR DE TOPO 250 A</t>
  </si>
  <si>
    <t>FUSÍVEL RETARDADO NH 02 COM INDICADOR DE TOPO 400 A</t>
  </si>
  <si>
    <t>FUSÍVEL RETARDADO NH 03 COM INDICADOR DE TOPO 630 A</t>
  </si>
  <si>
    <t>CAIXA DE PASSAGEM EM CHAPA DE AÇO COM TAMPA APARAFUSADA 402 X 402 X 152 MM</t>
  </si>
  <si>
    <t>ABRACADEIRA TIPO COPO, DE 1"</t>
  </si>
  <si>
    <t>CARTUCHO DE SOLDA EXOTÉRMICA N.º 90</t>
  </si>
  <si>
    <t>IGNEX - PALITO IGNITOR PARA SOLDA EXOTÉRMICA</t>
  </si>
  <si>
    <t>MOLDE P/ SOLDA TIPO "T" ATÉ 35mm²</t>
  </si>
  <si>
    <t>DIVISORIA EM GRANITO, COM DUAS FACES POLIDAS, CINZA ANDORINHA, E=  2,0 CM</t>
  </si>
  <si>
    <t>SOLVENTE PARA VERNIZ POLIURETANO</t>
  </si>
  <si>
    <t>VERNIZ POLIURETANO ALIFÁTICO BICOMPONENTE</t>
  </si>
  <si>
    <t>DIVISORIA EM GRANITO, COM DUAS FACES POLIDAS, TIPO ANDORINHA/ QUARTZ/ CASTELO/ CORUMBA OU OUTROS EQUIVALENTES DA REGIAO, E=  2,0 CM</t>
  </si>
  <si>
    <t>MASSA CORRIDA PVA PARA PAREDES INTERNAS</t>
  </si>
  <si>
    <t>Obs.2: Inclusão de composições Sinapi 100973 e 97914.</t>
  </si>
  <si>
    <t>Nova central de geração de energia elétrica de emergência</t>
  </si>
  <si>
    <t>Eletroduto PEAD 1 1/4" - fornecimento e instalação</t>
  </si>
  <si>
    <t>PLANEJAMENTO EXECUTIVO</t>
  </si>
  <si>
    <t>FORNECIMENTO DE EQUIPAMENTOS</t>
  </si>
  <si>
    <t>OBRAS CIVIS E INFRAESTRUTURA ELÉTRICA</t>
  </si>
  <si>
    <t>MANUTENÇÃO ON-SITE</t>
  </si>
  <si>
    <t>Bloco autônomo de emergência com fluxo mínimo de 1000 lumens</t>
  </si>
  <si>
    <t>Cabo ethernet categoria 5e blindado (FTP)</t>
  </si>
  <si>
    <t>Cabo constituído por 12 fibras ópticas do tipo multimodo, LSZH</t>
  </si>
  <si>
    <t>Cabo de cobre para comunicação CANbus</t>
  </si>
  <si>
    <t>Cabo de cobre para comunicação padrão RS-485</t>
  </si>
  <si>
    <t>Cabo de potência, 8,7 kV / 15 kV, 95 mm²</t>
  </si>
  <si>
    <t>Cabo de potência, 8,7 kV / 15 kV, 240 mm²</t>
  </si>
  <si>
    <t>Distribuidor Interno Óptico Industrial para, no mínimo, 12 fibras</t>
  </si>
  <si>
    <t>ELETRODUTO/DUTO PEAD FLEXIVEL PAREDE SIMPLES, CORRUGACAO HELICOIDAL, COR PRETA, SEM ROSCA, DE 5",  PARA CABEAMENTO SUBTERRANEO (NBR 15715)</t>
  </si>
  <si>
    <t>Interruptor duplo para condulete alumínio para eletrodutos de 1’’, de sobrepor, com conexões e acessórios.</t>
  </si>
  <si>
    <t>Leito tipo semi-pesado 400 mm x 100 mm fabricado em aço galvanizado a fogo # 12/14</t>
  </si>
  <si>
    <t>Leito tipo semi-pesado 600 mm x 100 mm fabricado em aço galvanizado a fogo # 12/14</t>
  </si>
  <si>
    <t>Reator eletrônico 2x14W. Ref.: Philips EB214A26; Philips EL214-28A26; Lumicenter LEB. 214; MarGirus PB 2X14 AF2.</t>
  </si>
  <si>
    <t>Reator eletrônico 2x28W. Ref.: Philips EB228A26; Philips EL214-28A26; Intral REH-T5 2x28/127-220/50-60 (cod. 02475); MarGirus PB 2X28 AF2.</t>
  </si>
  <si>
    <t>Luminária de sobrepor T5 2x28W, ref:Osram LEDVANCE DAMP‐PROOF HOUSING Longa Dupla (7016392), Osram LEDVANCE DAMP‐PROOF SEM TUBO DUPLA (7012956), Philips TCW060 2x36, Ourolux Ourofort IP65 2X28/32/36/40W (01527/01528), Lumicenter FHT03‐S228</t>
  </si>
  <si>
    <t>Terminal para cabo de média tensão. Ref: Prysmian TM-20-240</t>
  </si>
  <si>
    <t>Terminal para cabo de média tensão. Ref: Prysmian TM-20-120</t>
  </si>
  <si>
    <t xml:space="preserve">Tomada 20A para condulete alumínio para eletrodutos de 1’’, de sobrepor, com conexões e acessórios. </t>
  </si>
  <si>
    <t xml:space="preserve">Tomada 10A para condulete alumínio para eletrodutos de 1’’, de sobrepor, com conexões e acessórios. </t>
  </si>
  <si>
    <t>Haste de aterramento 3/4" x 3 m, tipo camada alta de cobre</t>
  </si>
  <si>
    <t>Leito tipo semi-pesado 800 mm x 100 mm fabricado em aço galvanizado a fogo # 12/14</t>
  </si>
  <si>
    <t>Engenheiro Eletricista com encargos complementares</t>
  </si>
  <si>
    <t>Oléo Diesel (S10 ou S500)</t>
  </si>
  <si>
    <t>Armadura de tela de aço CA-60 4,2mm</t>
  </si>
  <si>
    <t>Forma para fundação com tábuas e sarrafos, 3 reaproveitamentos</t>
  </si>
  <si>
    <t>Lastro de brita 1 apiloado com soquete manual para regularização</t>
  </si>
  <si>
    <t>Grelha pré-moldada de concreto para canaleta 35 x 60 x 5 cm</t>
  </si>
  <si>
    <t>Concreto preparado na obra C20 S50, controle "B", brita 1</t>
  </si>
  <si>
    <t>Furo em concreto com broca de widia, utilizando martele elétrico Ø 3/8" profundidade 10 cm</t>
  </si>
  <si>
    <t>POSTE CONICO CONTINUO EM ACO GALVANIZADO, RETO, BRACO SIMPLES, ENGASTADO,  H = 5 M</t>
  </si>
  <si>
    <t>Suporte para luminária para poste simples (1 luminária)</t>
  </si>
  <si>
    <t>Mão francesa metálica dupla, com dois perfis 38 mm x 38 mm, L = 800 mm</t>
  </si>
  <si>
    <t>Data: Setembro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</si>
</sst>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R$&quot;\ * #,##0.00_-;\-&quot;R$&quot;\ * #,##0.00_-;_-&quot;R$&quot;\ * &quot;-&quot;??_-;_-@_-"/>
    <numFmt numFmtId="164" formatCode="_(&quot;R$&quot;* #,##0.00_);_(&quot;R$&quot;* \(#,##0.00\);_(&quot;R$&quot;* &quot;-&quot;??_);_(@_)"/>
    <numFmt numFmtId="165" formatCode="_(* #,##0.00_);_(* \(#,##0.00\);_(* &quot;-&quot;??_);_(@_)"/>
    <numFmt numFmtId="166" formatCode="_(* #,##0.00_);_(* \(#,##0.00\);_(* \-??_);_(@_)"/>
    <numFmt numFmtId="167" formatCode="0.0000"/>
    <numFmt numFmtId="168" formatCode="#,##0.0000"/>
    <numFmt numFmtId="169" formatCode="#,##0.0000000"/>
    <numFmt numFmtId="170" formatCode="&quot;Data-base SINAPI&quot;\ mm/yyyy"/>
    <numFmt numFmtId="171" formatCode="#,##0.00;;"/>
    <numFmt numFmtId="172" formatCode="#,##0;;"/>
    <numFmt numFmtId="173" formatCode="&quot;R$&quot;\ #,##0.00;[Red]&quot;R$&quot;\ #,##0.00"/>
    <numFmt numFmtId="174" formatCode="_(&quot;R$ &quot;* #,##0.00_);_(&quot;R$ &quot;* \(#,##0.00\);_(&quot;R$ &quot;* &quot;-&quot;??_);_(@_)"/>
    <numFmt numFmtId="175" formatCode="#,##0.00\ ;&quot; (&quot;#,##0.00\);&quot; -&quot;#\ ;@\ "/>
  </numFmts>
  <fonts count="52"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8"/>
      <name val="Arial"/>
      <family val="2"/>
    </font>
    <font>
      <b/>
      <sz val="10"/>
      <color rgb="FFFF0000"/>
      <name val="Arial"/>
      <family val="2"/>
    </font>
    <font>
      <b/>
      <sz val="10"/>
      <color theme="0"/>
      <name val="Arial"/>
      <family val="2"/>
    </font>
    <font>
      <b/>
      <sz val="12"/>
      <color theme="1"/>
      <name val="Arial"/>
      <family val="2"/>
    </font>
    <font>
      <u/>
      <sz val="11"/>
      <color theme="10"/>
      <name val="Calibri"/>
      <family val="2"/>
      <scheme val="minor"/>
    </font>
    <font>
      <b/>
      <i/>
      <sz val="16"/>
      <color rgb="FFFF0000"/>
      <name val="Verdana"/>
      <family val="2"/>
    </font>
    <font>
      <b/>
      <sz val="11"/>
      <color theme="1"/>
      <name val="Arial"/>
      <family val="2"/>
    </font>
    <font>
      <b/>
      <sz val="14"/>
      <color theme="1"/>
      <name val="Arial"/>
      <family val="2"/>
    </font>
    <font>
      <b/>
      <sz val="14"/>
      <name val="Verdana"/>
      <family val="2"/>
    </font>
    <font>
      <b/>
      <sz val="14"/>
      <color theme="1"/>
      <name val="Verdana"/>
      <family val="2"/>
    </font>
    <font>
      <sz val="11"/>
      <color theme="1"/>
      <name val="Verdana"/>
      <family val="2"/>
    </font>
    <font>
      <b/>
      <sz val="12"/>
      <name val="Arial"/>
      <family val="2"/>
    </font>
    <font>
      <b/>
      <sz val="11"/>
      <name val="Arial"/>
      <family val="2"/>
    </font>
    <font>
      <b/>
      <sz val="14"/>
      <name val="Arial"/>
      <family val="2"/>
    </font>
    <font>
      <sz val="12"/>
      <name val="Arial"/>
      <family val="2"/>
    </font>
    <font>
      <sz val="11"/>
      <color theme="1"/>
      <name val="Arial"/>
      <family val="2"/>
    </font>
    <font>
      <b/>
      <sz val="11"/>
      <color rgb="FFFF0000"/>
      <name val="Arial"/>
      <family val="2"/>
    </font>
    <font>
      <b/>
      <sz val="10"/>
      <color theme="1"/>
      <name val="Arial"/>
      <family val="2"/>
    </font>
    <font>
      <u/>
      <sz val="8"/>
      <color indexed="12"/>
      <name val="Arial"/>
      <family val="2"/>
    </font>
    <font>
      <u/>
      <sz val="9"/>
      <color indexed="12"/>
      <name val="Arial"/>
      <family val="2"/>
    </font>
    <font>
      <b/>
      <u/>
      <sz val="10"/>
      <color rgb="FFFF0000"/>
      <name val="Verdana"/>
      <family val="2"/>
    </font>
    <font>
      <b/>
      <sz val="10"/>
      <color rgb="FFFF0000"/>
      <name val="Verdana"/>
      <family val="2"/>
    </font>
    <font>
      <sz val="11"/>
      <name val="Verdana"/>
      <family val="2"/>
    </font>
    <font>
      <sz val="11"/>
      <name val="Arial"/>
      <family val="2"/>
    </font>
    <font>
      <b/>
      <sz val="11"/>
      <color theme="0"/>
      <name val="Arial"/>
      <family val="2"/>
    </font>
    <font>
      <b/>
      <u/>
      <sz val="11"/>
      <color theme="1"/>
      <name val="Arial"/>
      <family val="2"/>
    </font>
    <font>
      <sz val="10"/>
      <color theme="1"/>
      <name val="Arial"/>
      <family val="2"/>
    </font>
    <font>
      <sz val="11"/>
      <color theme="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charset val="1"/>
    </font>
    <font>
      <u/>
      <sz val="11"/>
      <color theme="10"/>
      <name val="Calibri"/>
      <family val="2"/>
    </font>
  </fonts>
  <fills count="30">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F243D"/>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9">
    <border>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2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6" fontId="2" fillId="0" borderId="0" applyFont="0" applyFill="0" applyAlignment="0" applyProtection="0"/>
    <xf numFmtId="164" fontId="2" fillId="0" borderId="0" applyFont="0" applyFill="0" applyBorder="0" applyAlignment="0" applyProtection="0"/>
    <xf numFmtId="0" fontId="9" fillId="0" borderId="0" applyNumberFormat="0" applyFill="0" applyBorder="0" applyAlignment="0" applyProtection="0"/>
    <xf numFmtId="174" fontId="1" fillId="0" borderId="0" applyFont="0" applyFill="0" applyBorder="0" applyAlignment="0" applyProtection="0"/>
    <xf numFmtId="0" fontId="2" fillId="0" borderId="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1"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4" fillId="18"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5" fillId="10" borderId="0" applyNumberFormat="0" applyBorder="0" applyAlignment="0" applyProtection="0"/>
    <xf numFmtId="0" fontId="36" fillId="22" borderId="30" applyNumberFormat="0" applyAlignment="0" applyProtection="0"/>
    <xf numFmtId="0" fontId="37" fillId="23" borderId="31" applyNumberFormat="0" applyAlignment="0" applyProtection="0"/>
    <xf numFmtId="0" fontId="38" fillId="0" borderId="32" applyNumberFormat="0" applyFill="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7" borderId="0" applyNumberFormat="0" applyBorder="0" applyAlignment="0" applyProtection="0"/>
    <xf numFmtId="0" fontId="39" fillId="13" borderId="30" applyNumberFormat="0" applyAlignment="0" applyProtection="0"/>
    <xf numFmtId="0" fontId="40" fillId="9" borderId="0" applyNumberFormat="0" applyBorder="0" applyAlignment="0" applyProtection="0"/>
    <xf numFmtId="174" fontId="2" fillId="0" borderId="0" applyFont="0" applyFill="0" applyBorder="0" applyAlignment="0" applyProtection="0"/>
    <xf numFmtId="0" fontId="41" fillId="28" borderId="0" applyNumberFormat="0" applyBorder="0" applyAlignment="0" applyProtection="0"/>
    <xf numFmtId="0" fontId="2" fillId="29" borderId="33" applyNumberFormat="0" applyFont="0" applyAlignment="0" applyProtection="0"/>
    <xf numFmtId="9" fontId="2" fillId="0" borderId="0" applyFont="0" applyFill="0" applyBorder="0" applyAlignment="0" applyProtection="0"/>
    <xf numFmtId="0" fontId="42" fillId="22" borderId="34" applyNumberFormat="0" applyAlignment="0" applyProtection="0"/>
    <xf numFmtId="165"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35" applyNumberFormat="0" applyFill="0" applyAlignment="0" applyProtection="0"/>
    <xf numFmtId="0" fontId="47" fillId="0" borderId="36" applyNumberFormat="0" applyFill="0" applyAlignment="0" applyProtection="0"/>
    <xf numFmtId="0" fontId="48" fillId="0" borderId="37" applyNumberFormat="0" applyFill="0" applyAlignment="0" applyProtection="0"/>
    <xf numFmtId="0" fontId="48" fillId="0" borderId="0" applyNumberFormat="0" applyFill="0" applyBorder="0" applyAlignment="0" applyProtection="0"/>
    <xf numFmtId="0" fontId="49" fillId="0" borderId="38" applyNumberFormat="0" applyFill="0" applyAlignment="0" applyProtection="0"/>
    <xf numFmtId="0" fontId="2" fillId="0" borderId="0"/>
    <xf numFmtId="174" fontId="2" fillId="0" borderId="0" applyFont="0" applyFill="0" applyBorder="0" applyAlignment="0" applyProtection="0"/>
    <xf numFmtId="0" fontId="2" fillId="29" borderId="33" applyNumberFormat="0" applyFont="0" applyAlignment="0" applyProtection="0"/>
    <xf numFmtId="9" fontId="2" fillId="0" borderId="0" applyFont="0" applyFill="0" applyBorder="0" applyAlignment="0" applyProtection="0"/>
    <xf numFmtId="165" fontId="2" fillId="0" borderId="0" applyFont="0" applyFill="0" applyBorder="0" applyAlignment="0" applyProtection="0"/>
    <xf numFmtId="0" fontId="50" fillId="0" borderId="0"/>
    <xf numFmtId="0" fontId="33" fillId="0" borderId="0"/>
    <xf numFmtId="0" fontId="33" fillId="0" borderId="0" applyNumberFormat="0" applyFill="0" applyBorder="0" applyAlignment="0" applyProtection="0"/>
    <xf numFmtId="9" fontId="2" fillId="0" borderId="0" applyFill="0" applyBorder="0" applyAlignment="0" applyProtection="0"/>
    <xf numFmtId="175" fontId="2" fillId="0" borderId="0" applyFill="0" applyBorder="0" applyAlignment="0" applyProtection="0"/>
    <xf numFmtId="9" fontId="33" fillId="0" borderId="0" applyFont="0" applyFill="0" applyBorder="0" applyAlignment="0" applyProtection="0"/>
    <xf numFmtId="174" fontId="33" fillId="0" borderId="0" applyFont="0" applyFill="0" applyBorder="0" applyAlignment="0" applyProtection="0"/>
    <xf numFmtId="165" fontId="2" fillId="0" borderId="0" applyFont="0" applyFill="0" applyBorder="0" applyAlignment="0" applyProtection="0"/>
    <xf numFmtId="0" fontId="2" fillId="0" borderId="0"/>
    <xf numFmtId="174" fontId="2" fillId="0" borderId="0" applyFont="0" applyFill="0" applyBorder="0" applyAlignment="0" applyProtection="0"/>
    <xf numFmtId="0" fontId="2" fillId="29" borderId="33" applyNumberFormat="0" applyFont="0" applyAlignment="0" applyProtection="0"/>
    <xf numFmtId="9" fontId="2" fillId="0" borderId="0" applyFont="0" applyFill="0" applyBorder="0" applyAlignment="0" applyProtection="0"/>
    <xf numFmtId="165" fontId="2"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2" fillId="0" borderId="0"/>
    <xf numFmtId="165" fontId="1" fillId="0" borderId="0" applyFont="0" applyFill="0" applyBorder="0" applyAlignment="0" applyProtection="0"/>
    <xf numFmtId="0" fontId="2" fillId="0" borderId="0"/>
    <xf numFmtId="0" fontId="1" fillId="0" borderId="0"/>
    <xf numFmtId="0" fontId="2" fillId="0" borderId="0"/>
    <xf numFmtId="44" fontId="1" fillId="0" borderId="0" applyFont="0" applyFill="0" applyBorder="0" applyAlignment="0" applyProtection="0"/>
    <xf numFmtId="0" fontId="2" fillId="0" borderId="0"/>
    <xf numFmtId="0" fontId="2" fillId="0" borderId="0"/>
    <xf numFmtId="174" fontId="2" fillId="0" borderId="0" applyFont="0" applyFill="0" applyBorder="0" applyAlignment="0" applyProtection="0"/>
    <xf numFmtId="165" fontId="2" fillId="0" borderId="0" applyFont="0" applyFill="0" applyBorder="0" applyAlignment="0" applyProtection="0"/>
    <xf numFmtId="17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165" fontId="1" fillId="0" borderId="0" applyFont="0" applyFill="0" applyBorder="0" applyAlignment="0" applyProtection="0"/>
    <xf numFmtId="165" fontId="2" fillId="0" borderId="0" applyFont="0" applyFill="0" applyBorder="0" applyAlignment="0" applyProtection="0"/>
    <xf numFmtId="0" fontId="1" fillId="0" borderId="0"/>
    <xf numFmtId="165" fontId="2" fillId="0" borderId="0" applyFont="0" applyFill="0" applyBorder="0" applyAlignment="0" applyProtection="0"/>
    <xf numFmtId="0" fontId="51" fillId="0" borderId="0" applyNumberFormat="0" applyFill="0" applyBorder="0" applyAlignment="0" applyProtection="0">
      <alignment vertical="top"/>
      <protection locked="0"/>
    </xf>
    <xf numFmtId="0" fontId="2" fillId="0" borderId="0"/>
    <xf numFmtId="174" fontId="2" fillId="0" borderId="0" applyFont="0" applyFill="0" applyBorder="0" applyAlignment="0" applyProtection="0"/>
    <xf numFmtId="0" fontId="2" fillId="0" borderId="0"/>
    <xf numFmtId="165"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cellStyleXfs>
  <cellXfs count="250">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pplyProtection="1">
      <alignment horizontal="center" vertical="center"/>
      <protection locked="0"/>
    </xf>
    <xf numFmtId="0" fontId="0" fillId="0" borderId="0" xfId="0" applyAlignment="1"/>
    <xf numFmtId="0" fontId="0" fillId="0" borderId="0" xfId="0" applyAlignment="1">
      <alignment wrapText="1"/>
    </xf>
    <xf numFmtId="0" fontId="10" fillId="5" borderId="0" xfId="0" applyFont="1" applyFill="1" applyAlignment="1">
      <alignment horizontal="centerContinuous" vertical="distributed"/>
    </xf>
    <xf numFmtId="167" fontId="10" fillId="5" borderId="0" xfId="0" applyNumberFormat="1" applyFont="1" applyFill="1" applyAlignment="1">
      <alignment horizontal="centerContinuous" vertical="distributed"/>
    </xf>
    <xf numFmtId="0" fontId="10" fillId="0" borderId="0" xfId="0" applyFont="1" applyAlignment="1">
      <alignment horizontal="centerContinuous" vertical="distributed"/>
    </xf>
    <xf numFmtId="2" fontId="12" fillId="0" borderId="0" xfId="0" applyNumberFormat="1" applyFont="1" applyAlignment="1">
      <alignment horizontal="center" vertical="center" wrapText="1"/>
    </xf>
    <xf numFmtId="0" fontId="13" fillId="5" borderId="0" xfId="0" applyFont="1" applyFill="1" applyAlignment="1">
      <alignment horizontal="centerContinuous" vertical="center" wrapText="1"/>
    </xf>
    <xf numFmtId="0" fontId="14" fillId="5" borderId="0" xfId="0" applyFont="1" applyFill="1" applyAlignment="1">
      <alignment horizontal="centerContinuous" vertical="center" wrapText="1"/>
    </xf>
    <xf numFmtId="167" fontId="14" fillId="5" borderId="0" xfId="0" applyNumberFormat="1" applyFont="1" applyFill="1" applyAlignment="1">
      <alignment horizontal="centerContinuous" vertical="center" wrapText="1"/>
    </xf>
    <xf numFmtId="0" fontId="14" fillId="0" borderId="0" xfId="0" applyFont="1" applyAlignment="1">
      <alignment horizontal="centerContinuous" vertical="center" wrapText="1"/>
    </xf>
    <xf numFmtId="0" fontId="15" fillId="0" borderId="0" xfId="0" applyFont="1" applyAlignment="1">
      <alignment horizontal="centerContinuous" vertical="center" wrapText="1"/>
    </xf>
    <xf numFmtId="167" fontId="15" fillId="0" borderId="0" xfId="0" applyNumberFormat="1" applyFont="1" applyAlignment="1">
      <alignment horizontal="centerContinuous" vertical="center" wrapText="1"/>
    </xf>
    <xf numFmtId="0" fontId="20" fillId="0" borderId="0" xfId="0" applyFont="1" applyAlignment="1">
      <alignment vertical="center" wrapText="1"/>
    </xf>
    <xf numFmtId="167" fontId="20" fillId="0" borderId="0" xfId="0" applyNumberFormat="1" applyFont="1" applyAlignment="1">
      <alignment vertical="center" wrapText="1"/>
    </xf>
    <xf numFmtId="0" fontId="21" fillId="0" borderId="0" xfId="0" applyFont="1" applyAlignment="1">
      <alignment horizontal="center" vertical="center" wrapText="1"/>
    </xf>
    <xf numFmtId="2" fontId="20" fillId="0" borderId="0" xfId="0" applyNumberFormat="1" applyFont="1" applyAlignment="1">
      <alignment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167" fontId="17" fillId="5" borderId="12" xfId="0" applyNumberFormat="1"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0" borderId="14" xfId="0" applyFont="1" applyBorder="1" applyAlignment="1">
      <alignment horizontal="center" vertical="center" wrapText="1"/>
    </xf>
    <xf numFmtId="2" fontId="22" fillId="5" borderId="12" xfId="0" applyNumberFormat="1" applyFont="1" applyFill="1" applyBorder="1" applyAlignment="1">
      <alignment horizontal="center" vertical="center" wrapText="1"/>
    </xf>
    <xf numFmtId="0" fontId="3" fillId="0" borderId="10" xfId="3" applyFont="1" applyBorder="1" applyAlignment="1">
      <alignment horizontal="center" vertical="center" wrapText="1"/>
    </xf>
    <xf numFmtId="167" fontId="3" fillId="0" borderId="10" xfId="3" applyNumberFormat="1" applyFont="1" applyBorder="1" applyAlignment="1">
      <alignment vertical="center" wrapText="1"/>
    </xf>
    <xf numFmtId="0" fontId="3" fillId="0" borderId="10" xfId="3" applyFont="1" applyBorder="1" applyAlignment="1">
      <alignment vertical="center" wrapText="1"/>
    </xf>
    <xf numFmtId="0" fontId="3" fillId="0" borderId="7" xfId="3" applyFont="1" applyBorder="1" applyAlignment="1">
      <alignment vertical="center" wrapText="1"/>
    </xf>
    <xf numFmtId="0" fontId="3" fillId="0" borderId="0" xfId="3" applyFont="1" applyAlignment="1">
      <alignment vertical="center" wrapText="1"/>
    </xf>
    <xf numFmtId="164" fontId="2" fillId="0" borderId="0" xfId="5" applyFont="1" applyFill="1" applyBorder="1" applyAlignment="1" applyProtection="1">
      <alignment horizontal="center" vertical="center" wrapText="1"/>
    </xf>
    <xf numFmtId="0" fontId="2" fillId="0" borderId="0" xfId="3" applyAlignment="1">
      <alignment vertical="center" wrapText="1"/>
    </xf>
    <xf numFmtId="167" fontId="2" fillId="0" borderId="0" xfId="3" applyNumberFormat="1" applyAlignment="1">
      <alignment vertical="center" wrapText="1"/>
    </xf>
    <xf numFmtId="164" fontId="2" fillId="0" borderId="0" xfId="5" applyFont="1" applyBorder="1" applyAlignment="1" applyProtection="1">
      <alignment horizontal="center" vertical="center" wrapText="1"/>
    </xf>
    <xf numFmtId="164" fontId="2" fillId="0" borderId="18" xfId="5" applyFont="1" applyFill="1" applyBorder="1" applyAlignment="1" applyProtection="1">
      <alignment horizontal="center" vertical="center" wrapText="1"/>
    </xf>
    <xf numFmtId="0" fontId="2" fillId="0" borderId="0" xfId="0" applyFont="1" applyAlignment="1">
      <alignment horizontal="center" vertical="center" wrapText="1"/>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64" fontId="7" fillId="6" borderId="18" xfId="5" applyFont="1" applyFill="1" applyBorder="1" applyAlignment="1" applyProtection="1">
      <alignment horizontal="center" vertical="center" wrapText="1"/>
    </xf>
    <xf numFmtId="164" fontId="7" fillId="0" borderId="0" xfId="5" applyFont="1" applyFill="1" applyBorder="1" applyAlignment="1" applyProtection="1">
      <alignment horizontal="center" vertical="center" wrapText="1"/>
    </xf>
    <xf numFmtId="0" fontId="3" fillId="0" borderId="6" xfId="3" applyFont="1" applyBorder="1" applyAlignment="1">
      <alignment horizontal="center" vertical="center" wrapText="1"/>
    </xf>
    <xf numFmtId="164" fontId="3" fillId="0" borderId="10" xfId="3" applyNumberFormat="1" applyFont="1" applyBorder="1" applyAlignment="1">
      <alignment vertical="center" wrapText="1"/>
    </xf>
    <xf numFmtId="164" fontId="2" fillId="0" borderId="0" xfId="5" applyFont="1" applyFill="1" applyBorder="1" applyAlignment="1" applyProtection="1">
      <alignment vertical="center" wrapText="1"/>
    </xf>
    <xf numFmtId="164" fontId="7" fillId="0" borderId="18" xfId="5" applyFont="1" applyFill="1" applyBorder="1" applyAlignment="1" applyProtection="1">
      <alignment horizontal="center" vertical="center" wrapText="1"/>
    </xf>
    <xf numFmtId="164" fontId="3" fillId="0" borderId="18" xfId="5" applyFont="1" applyFill="1" applyBorder="1" applyAlignment="1" applyProtection="1">
      <alignment horizontal="center" vertical="center" wrapText="1"/>
    </xf>
    <xf numFmtId="164" fontId="3" fillId="0" borderId="0" xfId="5" applyFont="1" applyFill="1" applyBorder="1" applyAlignment="1" applyProtection="1">
      <alignment horizontal="center" vertical="center" wrapText="1"/>
    </xf>
    <xf numFmtId="165" fontId="2" fillId="0" borderId="0" xfId="0" applyNumberFormat="1" applyFont="1" applyAlignment="1">
      <alignment horizontal="center" vertical="center" wrapText="1"/>
    </xf>
    <xf numFmtId="0" fontId="3" fillId="0" borderId="0" xfId="0" applyFont="1" applyAlignment="1">
      <alignment horizontal="center" vertical="center" wrapText="1"/>
    </xf>
    <xf numFmtId="164" fontId="3" fillId="0" borderId="10" xfId="3"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wrapText="1"/>
    </xf>
    <xf numFmtId="0" fontId="3" fillId="0" borderId="0" xfId="0" applyFont="1" applyAlignment="1">
      <alignment horizontal="left" vertical="center" wrapText="1"/>
    </xf>
    <xf numFmtId="167" fontId="3" fillId="0" borderId="0" xfId="0" applyNumberFormat="1" applyFont="1" applyAlignment="1">
      <alignment horizontal="left" vertical="center" wrapText="1"/>
    </xf>
    <xf numFmtId="164" fontId="2" fillId="0" borderId="0" xfId="5" applyFont="1" applyBorder="1" applyAlignment="1" applyProtection="1">
      <alignment horizontal="center" vertical="center"/>
    </xf>
    <xf numFmtId="0" fontId="2" fillId="0" borderId="5" xfId="0" applyFont="1" applyBorder="1" applyAlignment="1">
      <alignment horizontal="center" vertical="center" wrapText="1"/>
    </xf>
    <xf numFmtId="164" fontId="5" fillId="0" borderId="18" xfId="5" applyFont="1" applyBorder="1" applyAlignment="1" applyProtection="1">
      <alignment horizontal="center" vertical="center" wrapText="1"/>
    </xf>
    <xf numFmtId="164" fontId="5" fillId="0" borderId="0" xfId="5" applyFont="1" applyFill="1" applyBorder="1" applyAlignment="1" applyProtection="1">
      <alignment horizontal="center" vertical="center" wrapText="1"/>
    </xf>
    <xf numFmtId="0" fontId="3" fillId="0" borderId="0" xfId="0" applyFont="1" applyAlignment="1">
      <alignment vertical="center" wrapText="1"/>
    </xf>
    <xf numFmtId="167" fontId="3" fillId="0" borderId="0" xfId="0" applyNumberFormat="1" applyFont="1" applyAlignment="1">
      <alignment vertical="center" wrapText="1"/>
    </xf>
    <xf numFmtId="164" fontId="3" fillId="0" borderId="0" xfId="0" applyNumberFormat="1" applyFont="1" applyAlignment="1">
      <alignment vertical="center" wrapText="1"/>
    </xf>
    <xf numFmtId="0" fontId="3" fillId="0" borderId="18" xfId="0" applyFont="1" applyBorder="1" applyAlignment="1">
      <alignment vertical="center" wrapText="1"/>
    </xf>
    <xf numFmtId="0" fontId="2" fillId="0" borderId="18" xfId="0" applyFont="1" applyBorder="1"/>
    <xf numFmtId="4" fontId="2" fillId="0" borderId="18" xfId="0" applyNumberFormat="1" applyFont="1" applyBorder="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left" vertical="center"/>
    </xf>
    <xf numFmtId="167" fontId="2" fillId="0" borderId="5" xfId="0" applyNumberFormat="1" applyFont="1" applyBorder="1" applyAlignment="1">
      <alignment horizontal="center" vertical="center" wrapText="1"/>
    </xf>
    <xf numFmtId="164" fontId="2" fillId="0" borderId="5" xfId="5" applyFont="1" applyFill="1" applyBorder="1" applyAlignment="1" applyProtection="1">
      <alignment horizontal="center" vertical="center" wrapText="1"/>
    </xf>
    <xf numFmtId="164" fontId="2" fillId="0" borderId="5" xfId="5" applyFont="1" applyBorder="1" applyAlignment="1" applyProtection="1">
      <alignment horizontal="center" vertical="center" wrapText="1"/>
    </xf>
    <xf numFmtId="164" fontId="2" fillId="0" borderId="20" xfId="5" applyFont="1" applyFill="1" applyBorder="1" applyAlignment="1" applyProtection="1">
      <alignment horizontal="center" vertical="center" wrapText="1"/>
    </xf>
    <xf numFmtId="167" fontId="3" fillId="0" borderId="5" xfId="3" applyNumberFormat="1" applyFont="1" applyBorder="1" applyAlignment="1">
      <alignment vertical="center" wrapText="1"/>
    </xf>
    <xf numFmtId="0" fontId="3" fillId="0" borderId="5" xfId="3" applyFont="1" applyBorder="1" applyAlignment="1">
      <alignment vertical="center" wrapText="1"/>
    </xf>
    <xf numFmtId="0" fontId="3" fillId="0" borderId="20" xfId="3" applyFont="1" applyBorder="1" applyAlignment="1">
      <alignment vertical="center" wrapText="1"/>
    </xf>
    <xf numFmtId="164" fontId="2" fillId="0" borderId="18" xfId="5" applyFont="1" applyBorder="1" applyAlignment="1" applyProtection="1">
      <alignment horizontal="center" vertical="center"/>
    </xf>
    <xf numFmtId="164" fontId="2" fillId="0" borderId="0" xfId="5" applyFont="1" applyFill="1" applyBorder="1" applyAlignment="1" applyProtection="1">
      <alignment horizontal="center" vertical="center"/>
    </xf>
    <xf numFmtId="164" fontId="2" fillId="0" borderId="0" xfId="0" applyNumberFormat="1" applyFont="1" applyAlignment="1">
      <alignment horizontal="center" vertical="center" wrapText="1"/>
    </xf>
    <xf numFmtId="164" fontId="2" fillId="0" borderId="5" xfId="5" applyFont="1" applyBorder="1" applyAlignment="1" applyProtection="1">
      <alignment horizontal="center" vertical="center"/>
    </xf>
    <xf numFmtId="164" fontId="2" fillId="0" borderId="20" xfId="5" applyFont="1" applyBorder="1" applyAlignment="1" applyProtection="1">
      <alignment horizontal="center" vertical="center"/>
    </xf>
    <xf numFmtId="0" fontId="3" fillId="0" borderId="10" xfId="3" applyFont="1" applyBorder="1" applyAlignment="1">
      <alignment horizontal="center" vertical="center"/>
    </xf>
    <xf numFmtId="0" fontId="2" fillId="0" borderId="0" xfId="3" applyAlignment="1">
      <alignment vertical="center"/>
    </xf>
    <xf numFmtId="0" fontId="2" fillId="0" borderId="5" xfId="0" applyFont="1" applyBorder="1" applyAlignment="1">
      <alignment horizontal="center" vertical="center"/>
    </xf>
    <xf numFmtId="0" fontId="10" fillId="5" borderId="0" xfId="0" applyFont="1" applyFill="1" applyAlignment="1">
      <alignment horizontal="centerContinuous" vertical="center"/>
    </xf>
    <xf numFmtId="0" fontId="10" fillId="0" borderId="0" xfId="0" applyFont="1" applyAlignment="1">
      <alignment horizontal="centerContinuous" vertical="center"/>
    </xf>
    <xf numFmtId="0" fontId="8" fillId="0" borderId="0" xfId="0" applyFont="1" applyAlignment="1">
      <alignment vertical="center"/>
    </xf>
    <xf numFmtId="168" fontId="8" fillId="0" borderId="0" xfId="0" applyNumberFormat="1" applyFont="1" applyAlignment="1">
      <alignment vertical="center" wrapText="1"/>
    </xf>
    <xf numFmtId="0" fontId="25" fillId="0" borderId="5" xfId="0" applyFont="1" applyBorder="1" applyAlignment="1">
      <alignment vertical="center" wrapText="1"/>
    </xf>
    <xf numFmtId="0" fontId="26" fillId="0" borderId="5" xfId="0" applyFont="1" applyBorder="1" applyAlignment="1">
      <alignment vertical="center" wrapText="1"/>
    </xf>
    <xf numFmtId="0" fontId="26" fillId="0" borderId="0" xfId="0" applyFont="1" applyAlignment="1">
      <alignment vertical="center" wrapText="1"/>
    </xf>
    <xf numFmtId="168" fontId="25" fillId="0" borderId="5" xfId="0" applyNumberFormat="1" applyFont="1" applyBorder="1" applyAlignment="1">
      <alignment vertical="center" wrapText="1"/>
    </xf>
    <xf numFmtId="168" fontId="22" fillId="5" borderId="12" xfId="0" applyNumberFormat="1" applyFont="1" applyFill="1" applyBorder="1" applyAlignment="1">
      <alignment horizontal="center" vertical="center" wrapText="1"/>
    </xf>
    <xf numFmtId="0" fontId="3" fillId="0" borderId="5" xfId="3" applyFont="1" applyBorder="1" applyAlignment="1">
      <alignment horizontal="center" vertical="center" wrapText="1"/>
    </xf>
    <xf numFmtId="169" fontId="3" fillId="0" borderId="5" xfId="3" applyNumberFormat="1" applyFont="1" applyBorder="1" applyAlignment="1">
      <alignment vertical="center" wrapText="1"/>
    </xf>
    <xf numFmtId="169" fontId="2" fillId="0" borderId="0" xfId="3" applyNumberFormat="1" applyAlignment="1">
      <alignment vertical="center" wrapText="1"/>
    </xf>
    <xf numFmtId="169" fontId="2" fillId="0" borderId="0" xfId="0" applyNumberFormat="1" applyFont="1" applyAlignment="1">
      <alignment horizontal="center" vertical="center" wrapText="1"/>
    </xf>
    <xf numFmtId="169" fontId="3" fillId="0" borderId="10" xfId="3" applyNumberFormat="1" applyFont="1" applyBorder="1" applyAlignment="1">
      <alignment vertical="center" wrapText="1"/>
    </xf>
    <xf numFmtId="164" fontId="0" fillId="0" borderId="0" xfId="0" applyNumberFormat="1"/>
    <xf numFmtId="169" fontId="2" fillId="0" borderId="5" xfId="0" applyNumberFormat="1" applyFont="1" applyBorder="1" applyAlignment="1">
      <alignment horizontal="center" vertical="center" wrapText="1"/>
    </xf>
    <xf numFmtId="164" fontId="0" fillId="0" borderId="0" xfId="0" applyNumberFormat="1" applyAlignment="1">
      <alignment horizontal="center" vertical="center"/>
    </xf>
    <xf numFmtId="164" fontId="2" fillId="0" borderId="0" xfId="5" applyFont="1" applyFill="1" applyBorder="1" applyAlignment="1">
      <alignment vertical="center" wrapText="1"/>
    </xf>
    <xf numFmtId="164" fontId="2" fillId="0" borderId="0" xfId="5" applyFont="1" applyFill="1" applyBorder="1" applyAlignment="1">
      <alignment horizontal="center" vertical="center" wrapText="1"/>
    </xf>
    <xf numFmtId="164" fontId="0" fillId="0" borderId="0" xfId="0" applyNumberFormat="1" applyProtection="1">
      <protection locked="0"/>
    </xf>
    <xf numFmtId="164" fontId="2" fillId="0" borderId="18" xfId="5"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10" fillId="5" borderId="0" xfId="0" applyFont="1" applyFill="1" applyAlignment="1">
      <alignment horizontal="centerContinuous" vertical="center" wrapText="1"/>
    </xf>
    <xf numFmtId="0" fontId="10" fillId="5" borderId="0" xfId="0" applyFont="1" applyFill="1" applyAlignment="1" applyProtection="1">
      <alignment horizontal="centerContinuous" vertical="center"/>
      <protection locked="0"/>
    </xf>
    <xf numFmtId="0" fontId="13" fillId="5" borderId="0" xfId="0" applyFont="1" applyFill="1" applyAlignment="1" applyProtection="1">
      <alignment horizontal="centerContinuous" vertical="center"/>
      <protection locked="0"/>
    </xf>
    <xf numFmtId="0" fontId="27" fillId="7" borderId="0" xfId="0" applyFont="1" applyFill="1" applyAlignment="1" applyProtection="1">
      <alignment horizontal="centerContinuous" vertical="center" wrapText="1"/>
      <protection locked="0"/>
    </xf>
    <xf numFmtId="0" fontId="28" fillId="7" borderId="5" xfId="0" applyFont="1" applyFill="1" applyBorder="1" applyAlignment="1" applyProtection="1">
      <alignment horizontal="center" vertical="center" wrapText="1"/>
      <protection locked="0"/>
    </xf>
    <xf numFmtId="0" fontId="28" fillId="7" borderId="5" xfId="0" applyFont="1" applyFill="1" applyBorder="1" applyAlignment="1" applyProtection="1">
      <alignment vertical="center" wrapText="1"/>
      <protection locked="0"/>
    </xf>
    <xf numFmtId="170" fontId="28" fillId="7" borderId="5" xfId="0" applyNumberFormat="1" applyFont="1" applyFill="1" applyBorder="1" applyAlignment="1" applyProtection="1">
      <alignment horizontal="centerContinuous" vertical="center" wrapText="1"/>
      <protection locked="0"/>
    </xf>
    <xf numFmtId="0" fontId="28" fillId="7" borderId="5" xfId="0" applyFont="1" applyFill="1" applyBorder="1" applyAlignment="1" applyProtection="1">
      <alignment horizontal="centerContinuous" vertical="center" wrapText="1"/>
      <protection locked="0"/>
    </xf>
    <xf numFmtId="165" fontId="0" fillId="7" borderId="0" xfId="0" applyNumberFormat="1" applyFill="1" applyAlignment="1" applyProtection="1">
      <alignment vertical="center" wrapText="1"/>
      <protection locked="0"/>
    </xf>
    <xf numFmtId="0" fontId="28" fillId="7" borderId="0" xfId="0" applyFont="1" applyFill="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0" borderId="0" xfId="0" applyProtection="1">
      <protection locked="0"/>
    </xf>
    <xf numFmtId="0" fontId="2" fillId="0" borderId="0" xfId="0" applyFont="1" applyAlignment="1" applyProtection="1">
      <alignment horizontal="left" vertical="center" wrapText="1"/>
      <protection locked="0"/>
    </xf>
    <xf numFmtId="2" fontId="3" fillId="0" borderId="0" xfId="1" applyNumberFormat="1" applyFont="1" applyAlignment="1" applyProtection="1">
      <alignment horizontal="right"/>
      <protection locked="0"/>
    </xf>
    <xf numFmtId="165" fontId="2" fillId="0" borderId="0" xfId="1" applyFont="1" applyProtection="1">
      <protection locked="0"/>
    </xf>
    <xf numFmtId="165" fontId="2" fillId="0" borderId="0" xfId="1" applyFont="1" applyAlignment="1" applyProtection="1">
      <alignment horizontal="right"/>
      <protection locked="0"/>
    </xf>
    <xf numFmtId="2" fontId="2" fillId="0" borderId="0" xfId="1" applyNumberFormat="1" applyFont="1" applyAlignment="1" applyProtection="1">
      <alignment horizontal="centerContinuous" wrapText="1"/>
      <protection locked="0"/>
    </xf>
    <xf numFmtId="165" fontId="2" fillId="0" borderId="0" xfId="1" applyFont="1" applyAlignment="1" applyProtection="1">
      <alignment horizontal="centerContinuous" wrapText="1"/>
      <protection locked="0"/>
    </xf>
    <xf numFmtId="0" fontId="10" fillId="5" borderId="0" xfId="0" applyFont="1" applyFill="1" applyAlignment="1" applyProtection="1">
      <alignment horizontal="centerContinuous" vertical="center" wrapText="1"/>
      <protection locked="0"/>
    </xf>
    <xf numFmtId="0" fontId="13" fillId="5" borderId="0" xfId="0" applyFont="1" applyFill="1" applyAlignment="1" applyProtection="1">
      <alignment horizontal="centerContinuous" vertical="center" wrapText="1"/>
      <protection locked="0"/>
    </xf>
    <xf numFmtId="0" fontId="18" fillId="7" borderId="5" xfId="0" applyFont="1" applyFill="1" applyBorder="1" applyAlignment="1" applyProtection="1">
      <alignment horizontal="center" vertical="center" wrapText="1"/>
      <protection locked="0"/>
    </xf>
    <xf numFmtId="0" fontId="18" fillId="7" borderId="0" xfId="0" applyFont="1" applyFill="1" applyAlignment="1" applyProtection="1">
      <alignment horizontal="center" vertical="center" wrapText="1"/>
      <protection locked="0"/>
    </xf>
    <xf numFmtId="10" fontId="2" fillId="0" borderId="9" xfId="0" applyNumberFormat="1" applyFont="1" applyBorder="1" applyAlignment="1" applyProtection="1">
      <alignment horizontal="center" vertical="center"/>
      <protection locked="0"/>
    </xf>
    <xf numFmtId="0" fontId="26" fillId="0" borderId="5" xfId="0" applyFont="1" applyBorder="1" applyAlignment="1">
      <alignment vertical="center"/>
    </xf>
    <xf numFmtId="0" fontId="17" fillId="5" borderId="4" xfId="0" applyFont="1" applyFill="1" applyBorder="1" applyAlignment="1">
      <alignment horizontal="center" vertical="center"/>
    </xf>
    <xf numFmtId="165" fontId="2" fillId="0" borderId="0" xfId="0" applyNumberFormat="1" applyFont="1" applyAlignment="1">
      <alignment horizontal="center" vertical="center"/>
    </xf>
    <xf numFmtId="0" fontId="14" fillId="5" borderId="0" xfId="0" applyFont="1" applyFill="1" applyAlignment="1">
      <alignment horizontal="centerContinuous" vertical="center"/>
    </xf>
    <xf numFmtId="0" fontId="15" fillId="0" borderId="0" xfId="0" applyFont="1" applyAlignment="1">
      <alignment horizontal="centerContinuous" vertical="center"/>
    </xf>
    <xf numFmtId="0" fontId="3" fillId="0" borderId="19" xfId="3" applyFont="1" applyBorder="1" applyAlignment="1">
      <alignment horizontal="center" vertical="center" wrapText="1"/>
    </xf>
    <xf numFmtId="0" fontId="10" fillId="5" borderId="0" xfId="0" applyFont="1" applyFill="1" applyAlignment="1" applyProtection="1">
      <alignment horizontal="centerContinuous" vertical="center" wrapText="1"/>
    </xf>
    <xf numFmtId="164" fontId="2" fillId="0" borderId="9" xfId="5" applyFont="1" applyFill="1" applyBorder="1" applyAlignment="1" applyProtection="1">
      <alignment vertical="center" wrapText="1"/>
    </xf>
    <xf numFmtId="164" fontId="2" fillId="0" borderId="9" xfId="5" applyFont="1" applyFill="1" applyBorder="1" applyAlignment="1" applyProtection="1">
      <alignment horizontal="right" vertical="center" wrapText="1"/>
    </xf>
    <xf numFmtId="164" fontId="2" fillId="0" borderId="9" xfId="5" applyFont="1" applyFill="1" applyBorder="1" applyAlignment="1" applyProtection="1">
      <alignment horizontal="center" vertical="center" wrapText="1"/>
    </xf>
    <xf numFmtId="173" fontId="29" fillId="2" borderId="0" xfId="1" applyNumberFormat="1" applyFont="1" applyFill="1" applyBorder="1" applyAlignment="1" applyProtection="1">
      <alignment horizontal="right" wrapText="1"/>
    </xf>
    <xf numFmtId="173" fontId="29" fillId="2" borderId="5" xfId="1" applyNumberFormat="1" applyFont="1" applyFill="1" applyBorder="1" applyAlignment="1" applyProtection="1">
      <alignment horizontal="right" wrapText="1"/>
    </xf>
    <xf numFmtId="171" fontId="29" fillId="2" borderId="22" xfId="0" applyNumberFormat="1" applyFont="1" applyFill="1" applyBorder="1" applyAlignment="1" applyProtection="1">
      <alignment horizontal="center" wrapText="1"/>
    </xf>
    <xf numFmtId="171" fontId="29" fillId="2" borderId="6" xfId="0" applyNumberFormat="1" applyFont="1" applyFill="1" applyBorder="1" applyAlignment="1" applyProtection="1">
      <alignment horizontal="center" wrapText="1"/>
    </xf>
    <xf numFmtId="10" fontId="29" fillId="2" borderId="22" xfId="2" applyNumberFormat="1" applyFont="1" applyFill="1" applyBorder="1" applyAlignment="1" applyProtection="1">
      <alignment wrapText="1"/>
    </xf>
    <xf numFmtId="172" fontId="29" fillId="2" borderId="21" xfId="0" applyNumberFormat="1" applyFont="1" applyFill="1" applyBorder="1" applyAlignment="1" applyProtection="1">
      <alignment horizontal="center" wrapText="1"/>
    </xf>
    <xf numFmtId="0" fontId="9" fillId="0" borderId="0" xfId="6" applyNumberFormat="1" applyBorder="1" applyAlignment="1" applyProtection="1">
      <alignment horizontal="left" vertical="center" wrapText="1"/>
    </xf>
    <xf numFmtId="0" fontId="23" fillId="0" borderId="0" xfId="6" applyFont="1" applyBorder="1" applyAlignment="1" applyProtection="1">
      <alignment wrapText="1"/>
    </xf>
    <xf numFmtId="0" fontId="9" fillId="0" borderId="0" xfId="6" applyBorder="1" applyAlignment="1" applyProtection="1">
      <alignment wrapText="1"/>
    </xf>
    <xf numFmtId="0" fontId="6" fillId="0" borderId="6" xfId="3" applyFont="1" applyBorder="1" applyAlignment="1">
      <alignment horizontal="center" vertical="center" wrapText="1"/>
    </xf>
    <xf numFmtId="0" fontId="3" fillId="0" borderId="0" xfId="0" applyFont="1" applyAlignment="1">
      <alignment wrapText="1"/>
    </xf>
    <xf numFmtId="49" fontId="2" fillId="0" borderId="0" xfId="0" applyNumberFormat="1" applyFont="1" applyAlignment="1">
      <alignment horizontal="center" vertical="center" wrapText="1"/>
    </xf>
    <xf numFmtId="2" fontId="2" fillId="0" borderId="0" xfId="3" applyNumberFormat="1" applyAlignment="1">
      <alignment vertical="center" wrapText="1"/>
    </xf>
    <xf numFmtId="0" fontId="2" fillId="0" borderId="0" xfId="0" applyFont="1" applyAlignment="1">
      <alignment horizontal="left" vertical="center" wrapText="1"/>
    </xf>
    <xf numFmtId="0" fontId="24" fillId="0" borderId="0" xfId="6" applyNumberFormat="1" applyFont="1" applyFill="1" applyBorder="1" applyAlignment="1" applyProtection="1">
      <alignment horizontal="center" vertical="center" wrapText="1"/>
    </xf>
    <xf numFmtId="0" fontId="24" fillId="0" borderId="0" xfId="6" applyFont="1" applyBorder="1" applyAlignment="1" applyProtection="1">
      <alignment wrapText="1"/>
    </xf>
    <xf numFmtId="2" fontId="31" fillId="5" borderId="0" xfId="5" applyNumberFormat="1" applyFont="1" applyFill="1" applyBorder="1" applyAlignment="1" applyProtection="1">
      <alignment horizontal="center" vertical="center" wrapText="1"/>
    </xf>
    <xf numFmtId="168" fontId="31" fillId="5" borderId="0" xfId="5" applyNumberFormat="1" applyFont="1" applyFill="1" applyBorder="1" applyAlignment="1" applyProtection="1">
      <alignment horizontal="center" vertical="center" wrapText="1"/>
    </xf>
    <xf numFmtId="0" fontId="32" fillId="7" borderId="0" xfId="0" applyFont="1" applyFill="1" applyAlignment="1" applyProtection="1">
      <alignment vertical="center" wrapText="1"/>
      <protection locked="0"/>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9" fontId="2" fillId="0" borderId="0" xfId="0" applyNumberFormat="1" applyFont="1" applyBorder="1" applyAlignment="1">
      <alignment horizontal="center" vertical="center" wrapText="1"/>
    </xf>
    <xf numFmtId="0" fontId="2" fillId="0" borderId="0" xfId="3" applyBorder="1" applyAlignment="1">
      <alignment vertical="center" wrapText="1"/>
    </xf>
    <xf numFmtId="167" fontId="2" fillId="0" borderId="0" xfId="3" applyNumberFormat="1" applyBorder="1" applyAlignment="1">
      <alignment vertical="center" wrapText="1"/>
    </xf>
    <xf numFmtId="0" fontId="2" fillId="0" borderId="0" xfId="0" applyFont="1" applyBorder="1" applyAlignment="1">
      <alignment horizontal="center" vertical="center" wrapText="1"/>
    </xf>
    <xf numFmtId="167" fontId="2" fillId="0" borderId="0" xfId="0" applyNumberFormat="1" applyFont="1" applyBorder="1" applyAlignment="1">
      <alignment horizontal="center" vertical="center" wrapText="1"/>
    </xf>
    <xf numFmtId="165" fontId="2" fillId="0" borderId="0" xfId="0" applyNumberFormat="1" applyFont="1" applyBorder="1" applyAlignment="1">
      <alignment horizontal="center" vertical="center" wrapText="1"/>
    </xf>
    <xf numFmtId="165" fontId="2" fillId="0" borderId="5" xfId="0" applyNumberFormat="1" applyFont="1" applyBorder="1" applyAlignment="1">
      <alignment horizontal="center" vertical="center" wrapText="1"/>
    </xf>
    <xf numFmtId="0" fontId="3" fillId="0" borderId="19" xfId="3" applyFont="1" applyBorder="1" applyAlignment="1">
      <alignment horizontal="center" vertical="center" wrapText="1"/>
    </xf>
    <xf numFmtId="0" fontId="2" fillId="0" borderId="0" xfId="3" applyFont="1" applyAlignment="1">
      <alignment vertical="center" wrapText="1"/>
    </xf>
    <xf numFmtId="167" fontId="2" fillId="0" borderId="0" xfId="3" applyNumberFormat="1" applyFont="1" applyAlignment="1">
      <alignment vertical="center" wrapText="1"/>
    </xf>
    <xf numFmtId="0" fontId="2" fillId="0" borderId="0" xfId="3" applyFont="1" applyBorder="1" applyAlignment="1">
      <alignment vertical="center" wrapText="1"/>
    </xf>
    <xf numFmtId="167" fontId="2" fillId="0" borderId="0" xfId="3" applyNumberFormat="1" applyFont="1" applyBorder="1" applyAlignment="1">
      <alignment vertical="center" wrapText="1"/>
    </xf>
    <xf numFmtId="0" fontId="2" fillId="4" borderId="0" xfId="0" applyFont="1" applyFill="1" applyAlignment="1">
      <alignment horizontal="center" vertical="center" wrapText="1"/>
    </xf>
    <xf numFmtId="0" fontId="17" fillId="3" borderId="1" xfId="0" applyFont="1" applyFill="1" applyBorder="1" applyAlignment="1" applyProtection="1">
      <alignment vertical="center" wrapText="1"/>
      <protection locked="0"/>
    </xf>
    <xf numFmtId="0" fontId="2" fillId="0" borderId="0" xfId="0" applyFont="1" applyFill="1" applyAlignment="1">
      <alignment horizontal="center" vertical="center" wrapText="1"/>
    </xf>
    <xf numFmtId="0" fontId="20" fillId="0" borderId="0" xfId="0" applyFont="1" applyAlignment="1">
      <alignment vertical="center"/>
    </xf>
    <xf numFmtId="0" fontId="17" fillId="5" borderId="12" xfId="0" applyFont="1" applyFill="1" applyBorder="1" applyAlignment="1">
      <alignment horizontal="center" vertical="center"/>
    </xf>
    <xf numFmtId="0" fontId="17" fillId="5" borderId="3" xfId="0" applyFont="1" applyFill="1" applyBorder="1" applyAlignment="1" applyProtection="1">
      <alignment horizontal="center" vertical="center" wrapText="1"/>
    </xf>
    <xf numFmtId="0" fontId="17" fillId="5" borderId="4" xfId="0" applyFont="1" applyFill="1" applyBorder="1" applyAlignment="1" applyProtection="1">
      <alignment horizontal="center" vertical="center" wrapText="1"/>
    </xf>
    <xf numFmtId="2" fontId="17" fillId="5" borderId="4" xfId="1" applyNumberFormat="1" applyFont="1" applyFill="1" applyBorder="1" applyAlignment="1" applyProtection="1">
      <alignment horizontal="center" vertical="center" wrapText="1"/>
    </xf>
    <xf numFmtId="165" fontId="17" fillId="5" borderId="4" xfId="1" applyFont="1" applyFill="1" applyBorder="1" applyAlignment="1" applyProtection="1">
      <alignment horizontal="center" vertical="center" wrapText="1"/>
    </xf>
    <xf numFmtId="3" fontId="2" fillId="0" borderId="8" xfId="4" applyNumberFormat="1" applyFont="1" applyFill="1" applyBorder="1" applyAlignment="1" applyProtection="1">
      <alignment horizontal="center" vertical="center" wrapText="1"/>
    </xf>
    <xf numFmtId="4" fontId="2" fillId="0" borderId="9" xfId="4" applyNumberFormat="1" applyFont="1" applyFill="1" applyBorder="1" applyAlignment="1" applyProtection="1">
      <alignment horizontal="center" vertical="center" wrapText="1"/>
    </xf>
    <xf numFmtId="171" fontId="21" fillId="2" borderId="21" xfId="0" applyNumberFormat="1" applyFont="1" applyFill="1" applyBorder="1" applyAlignment="1" applyProtection="1">
      <alignment vertical="center" wrapText="1"/>
    </xf>
    <xf numFmtId="49" fontId="21" fillId="2" borderId="22" xfId="0" applyNumberFormat="1" applyFont="1" applyFill="1" applyBorder="1" applyAlignment="1" applyProtection="1">
      <alignment vertical="center" wrapText="1"/>
    </xf>
    <xf numFmtId="171" fontId="21" fillId="2" borderId="22" xfId="0" applyNumberFormat="1" applyFont="1" applyFill="1" applyBorder="1" applyAlignment="1" applyProtection="1">
      <alignment vertical="center" wrapText="1"/>
    </xf>
    <xf numFmtId="171" fontId="29" fillId="2" borderId="22" xfId="0" applyNumberFormat="1" applyFont="1" applyFill="1" applyBorder="1" applyAlignment="1" applyProtection="1">
      <alignment vertical="center" wrapText="1"/>
    </xf>
    <xf numFmtId="10" fontId="2" fillId="2" borderId="23" xfId="2" applyNumberFormat="1" applyFont="1" applyFill="1" applyBorder="1" applyAlignment="1" applyProtection="1">
      <alignment horizontal="center" vertical="center" wrapText="1"/>
    </xf>
    <xf numFmtId="164" fontId="2" fillId="2" borderId="23" xfId="5" applyFont="1" applyFill="1" applyBorder="1" applyAlignment="1" applyProtection="1">
      <alignment horizontal="center" vertical="center" wrapText="1"/>
    </xf>
    <xf numFmtId="164" fontId="2" fillId="2" borderId="0" xfId="5" applyFont="1" applyFill="1" applyBorder="1" applyAlignment="1" applyProtection="1">
      <alignment horizontal="right" vertical="center" wrapText="1"/>
    </xf>
    <xf numFmtId="171" fontId="29" fillId="2" borderId="22" xfId="0" applyNumberFormat="1" applyFont="1" applyFill="1" applyBorder="1" applyAlignment="1" applyProtection="1">
      <alignment wrapText="1"/>
    </xf>
    <xf numFmtId="171" fontId="29" fillId="2" borderId="22" xfId="0" applyNumberFormat="1" applyFont="1" applyFill="1" applyBorder="1" applyAlignment="1" applyProtection="1">
      <alignment horizontal="centerContinuous" wrapText="1"/>
    </xf>
    <xf numFmtId="171" fontId="29" fillId="2" borderId="6" xfId="0" applyNumberFormat="1" applyFont="1" applyFill="1" applyBorder="1" applyAlignment="1" applyProtection="1">
      <alignment wrapText="1"/>
    </xf>
    <xf numFmtId="171" fontId="29" fillId="2" borderId="10" xfId="0" applyNumberFormat="1" applyFont="1" applyFill="1" applyBorder="1" applyAlignment="1" applyProtection="1">
      <alignment wrapText="1"/>
    </xf>
    <xf numFmtId="171" fontId="29" fillId="2" borderId="10" xfId="0" applyNumberFormat="1" applyFont="1" applyFill="1" applyBorder="1" applyAlignment="1" applyProtection="1">
      <alignment horizontal="centerContinuous" wrapText="1"/>
    </xf>
    <xf numFmtId="171" fontId="29" fillId="2" borderId="6" xfId="0" applyNumberFormat="1" applyFont="1" applyFill="1" applyBorder="1" applyAlignment="1" applyProtection="1">
      <alignment horizontal="centerContinuous" wrapText="1"/>
    </xf>
    <xf numFmtId="164" fontId="2" fillId="0" borderId="9" xfId="5" applyFont="1" applyFill="1" applyBorder="1" applyAlignment="1" applyProtection="1">
      <alignment vertical="center" wrapText="1"/>
      <protection locked="0"/>
    </xf>
    <xf numFmtId="0" fontId="17" fillId="5" borderId="6" xfId="0" applyFont="1" applyFill="1" applyBorder="1" applyAlignment="1" applyProtection="1">
      <alignment horizontal="centerContinuous" vertical="center"/>
    </xf>
    <xf numFmtId="0" fontId="17" fillId="5" borderId="10" xfId="0" applyFont="1" applyFill="1" applyBorder="1" applyAlignment="1" applyProtection="1">
      <alignment horizontal="centerContinuous" vertical="center"/>
    </xf>
    <xf numFmtId="0" fontId="2" fillId="0" borderId="24" xfId="0" applyFont="1" applyBorder="1" applyAlignment="1" applyProtection="1">
      <alignment vertical="center"/>
    </xf>
    <xf numFmtId="0" fontId="30" fillId="0" borderId="26" xfId="0" applyFont="1" applyBorder="1" applyAlignment="1" applyProtection="1">
      <alignment horizontal="center" vertical="center"/>
    </xf>
    <xf numFmtId="0" fontId="28" fillId="0" borderId="0" xfId="0" applyFont="1" applyAlignment="1" applyProtection="1">
      <alignment horizontal="center" vertical="center"/>
    </xf>
    <xf numFmtId="0" fontId="21" fillId="0" borderId="28" xfId="0" applyFont="1" applyBorder="1" applyAlignment="1" applyProtection="1">
      <alignment horizontal="center" vertical="center"/>
    </xf>
    <xf numFmtId="0" fontId="11" fillId="0" borderId="9" xfId="0" applyFont="1" applyBorder="1" applyAlignment="1" applyProtection="1">
      <alignment horizontal="center" vertical="center"/>
    </xf>
    <xf numFmtId="0" fontId="2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3" fillId="5" borderId="21" xfId="0" applyFont="1" applyFill="1" applyBorder="1" applyAlignment="1" applyProtection="1">
      <alignment horizontal="center" vertical="center" wrapText="1"/>
    </xf>
    <xf numFmtId="10" fontId="3" fillId="5" borderId="22" xfId="0" applyNumberFormat="1"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2" fillId="0" borderId="15" xfId="0" applyFont="1" applyBorder="1" applyAlignment="1" applyProtection="1">
      <alignment vertical="center"/>
    </xf>
    <xf numFmtId="0" fontId="2" fillId="0" borderId="0" xfId="0" applyFont="1" applyAlignment="1" applyProtection="1">
      <alignment vertical="center"/>
    </xf>
    <xf numFmtId="0" fontId="7" fillId="0" borderId="0" xfId="0" applyFont="1" applyAlignment="1" applyProtection="1">
      <alignment horizontal="center" vertical="center"/>
    </xf>
    <xf numFmtId="10" fontId="7" fillId="0" borderId="0" xfId="0" applyNumberFormat="1" applyFont="1" applyAlignment="1" applyProtection="1">
      <alignment horizontal="center" vertical="center"/>
    </xf>
    <xf numFmtId="0" fontId="0" fillId="0" borderId="0" xfId="0" applyProtection="1"/>
    <xf numFmtId="0" fontId="0" fillId="0" borderId="0" xfId="0" applyAlignment="1" applyProtection="1">
      <alignment horizontal="center"/>
    </xf>
    <xf numFmtId="0" fontId="17" fillId="3" borderId="2" xfId="0" applyFont="1" applyFill="1" applyBorder="1" applyAlignment="1" applyProtection="1">
      <alignment vertical="center" wrapText="1"/>
    </xf>
    <xf numFmtId="0" fontId="17" fillId="3" borderId="1" xfId="0" applyFont="1" applyFill="1" applyBorder="1" applyAlignment="1" applyProtection="1">
      <alignment horizontal="center" vertical="center" wrapText="1"/>
    </xf>
    <xf numFmtId="0" fontId="17" fillId="3" borderId="1" xfId="0" applyFont="1" applyFill="1" applyBorder="1" applyAlignment="1" applyProtection="1">
      <alignment vertical="center" wrapText="1"/>
    </xf>
    <xf numFmtId="0" fontId="2" fillId="0" borderId="9" xfId="4" applyNumberFormat="1" applyFont="1" applyFill="1" applyBorder="1" applyAlignment="1" applyProtection="1">
      <alignment horizontal="left" vertical="center" wrapText="1"/>
    </xf>
    <xf numFmtId="10" fontId="2" fillId="0" borderId="9" xfId="2" applyNumberFormat="1" applyFont="1" applyFill="1" applyBorder="1" applyAlignment="1" applyProtection="1">
      <alignment horizontal="center" vertical="center" wrapText="1"/>
      <protection locked="0"/>
    </xf>
    <xf numFmtId="3" fontId="3" fillId="0" borderId="16" xfId="3" applyNumberFormat="1" applyFont="1" applyFill="1" applyBorder="1" applyAlignment="1">
      <alignment horizontal="center" vertical="center"/>
    </xf>
    <xf numFmtId="3" fontId="3" fillId="0" borderId="15" xfId="3" applyNumberFormat="1" applyFont="1" applyFill="1" applyBorder="1" applyAlignment="1">
      <alignment horizontal="center" vertical="center"/>
    </xf>
    <xf numFmtId="3" fontId="3" fillId="0" borderId="19" xfId="3" applyNumberFormat="1" applyFont="1" applyFill="1" applyBorder="1" applyAlignment="1">
      <alignment horizontal="center" vertical="center"/>
    </xf>
    <xf numFmtId="0" fontId="3" fillId="0" borderId="17" xfId="3" applyFont="1" applyBorder="1" applyAlignment="1">
      <alignment horizontal="center" vertical="center" wrapText="1"/>
    </xf>
    <xf numFmtId="0" fontId="3" fillId="0" borderId="0" xfId="3" applyFont="1" applyBorder="1" applyAlignment="1">
      <alignment horizontal="center" vertical="center" wrapText="1"/>
    </xf>
    <xf numFmtId="0" fontId="3" fillId="0" borderId="5" xfId="3" applyFont="1" applyBorder="1" applyAlignment="1">
      <alignment horizontal="center" vertical="center" wrapText="1"/>
    </xf>
    <xf numFmtId="3" fontId="3" fillId="0" borderId="16" xfId="3" applyNumberFormat="1" applyFont="1" applyBorder="1" applyAlignment="1">
      <alignment horizontal="center" vertical="center"/>
    </xf>
    <xf numFmtId="3" fontId="3" fillId="0" borderId="15" xfId="3" applyNumberFormat="1" applyFont="1" applyBorder="1" applyAlignment="1">
      <alignment horizontal="center" vertical="center"/>
    </xf>
    <xf numFmtId="3" fontId="3" fillId="0" borderId="19" xfId="3" applyNumberFormat="1" applyFont="1" applyBorder="1" applyAlignment="1">
      <alignment horizontal="center" vertical="center"/>
    </xf>
    <xf numFmtId="0" fontId="3" fillId="0" borderId="15" xfId="3" applyFont="1" applyBorder="1" applyAlignment="1">
      <alignment horizontal="center" vertical="center"/>
    </xf>
    <xf numFmtId="0" fontId="3" fillId="0" borderId="19" xfId="3" applyFont="1" applyBorder="1" applyAlignment="1">
      <alignment horizontal="center" vertical="center"/>
    </xf>
    <xf numFmtId="0" fontId="3" fillId="0" borderId="15" xfId="3" applyFont="1" applyFill="1" applyBorder="1" applyAlignment="1">
      <alignment horizontal="center" vertical="center"/>
    </xf>
    <xf numFmtId="0" fontId="3" fillId="0" borderId="19" xfId="3" applyFont="1" applyFill="1" applyBorder="1" applyAlignment="1">
      <alignment horizontal="center" vertical="center"/>
    </xf>
    <xf numFmtId="0" fontId="3" fillId="0" borderId="17"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5" xfId="3" applyFont="1" applyFill="1" applyBorder="1" applyAlignment="1">
      <alignment horizontal="center" vertical="center" wrapText="1"/>
    </xf>
    <xf numFmtId="3" fontId="3" fillId="4" borderId="16" xfId="3" applyNumberFormat="1" applyFont="1" applyFill="1" applyBorder="1" applyAlignment="1">
      <alignment horizontal="center" vertical="center"/>
    </xf>
    <xf numFmtId="3" fontId="3" fillId="4" borderId="15" xfId="3" applyNumberFormat="1" applyFont="1" applyFill="1" applyBorder="1" applyAlignment="1">
      <alignment horizontal="center" vertical="center"/>
    </xf>
    <xf numFmtId="3" fontId="3" fillId="4" borderId="19" xfId="3" applyNumberFormat="1" applyFont="1" applyFill="1" applyBorder="1" applyAlignment="1">
      <alignment horizontal="center" vertical="center"/>
    </xf>
    <xf numFmtId="0" fontId="3" fillId="4" borderId="17" xfId="3" applyFont="1" applyFill="1" applyBorder="1" applyAlignment="1">
      <alignment horizontal="center" vertical="center" wrapText="1"/>
    </xf>
    <xf numFmtId="0" fontId="3" fillId="4" borderId="0" xfId="3" applyFont="1" applyFill="1" applyBorder="1" applyAlignment="1">
      <alignment horizontal="center" vertical="center" wrapText="1"/>
    </xf>
    <xf numFmtId="0" fontId="3" fillId="4" borderId="5" xfId="3" applyFont="1" applyFill="1" applyBorder="1" applyAlignment="1">
      <alignment horizontal="center" vertical="center" wrapText="1"/>
    </xf>
    <xf numFmtId="3" fontId="3" fillId="0" borderId="16" xfId="3" applyNumberFormat="1" applyFont="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9" xfId="3" applyFont="1" applyBorder="1" applyAlignment="1">
      <alignment horizontal="center" vertical="center" wrapText="1"/>
    </xf>
    <xf numFmtId="0" fontId="11" fillId="0" borderId="25" xfId="0"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6" fillId="0" borderId="0" xfId="0" applyFont="1" applyAlignment="1" applyProtection="1">
      <alignment horizontal="left"/>
    </xf>
  </cellXfs>
  <cellStyles count="126">
    <cellStyle name="20% - Ênfase1 2" xfId="9" xr:uid="{00000000-0005-0000-0000-000000000000}"/>
    <cellStyle name="20% - Ênfase2 2" xfId="10" xr:uid="{00000000-0005-0000-0000-000001000000}"/>
    <cellStyle name="20% - Ênfase3 2" xfId="11" xr:uid="{00000000-0005-0000-0000-000002000000}"/>
    <cellStyle name="20% - Ênfase4 2" xfId="12" xr:uid="{00000000-0005-0000-0000-000003000000}"/>
    <cellStyle name="20% - Ênfase5 2" xfId="13" xr:uid="{00000000-0005-0000-0000-000004000000}"/>
    <cellStyle name="20% - Ênfase6 2" xfId="14" xr:uid="{00000000-0005-0000-0000-000005000000}"/>
    <cellStyle name="40% - Ênfase1 2" xfId="15" xr:uid="{00000000-0005-0000-0000-000006000000}"/>
    <cellStyle name="40% - Ênfase2 2" xfId="16" xr:uid="{00000000-0005-0000-0000-000007000000}"/>
    <cellStyle name="40% - Ênfase3 2" xfId="17" xr:uid="{00000000-0005-0000-0000-000008000000}"/>
    <cellStyle name="40% - Ênfase4 2" xfId="18" xr:uid="{00000000-0005-0000-0000-000009000000}"/>
    <cellStyle name="40% - Ênfase5 2" xfId="19" xr:uid="{00000000-0005-0000-0000-00000A000000}"/>
    <cellStyle name="40% - Ênfase6 2" xfId="20" xr:uid="{00000000-0005-0000-0000-00000B000000}"/>
    <cellStyle name="60% - Ênfase1 2" xfId="21" xr:uid="{00000000-0005-0000-0000-00000C000000}"/>
    <cellStyle name="60% - Ênfase2 2" xfId="22" xr:uid="{00000000-0005-0000-0000-00000D000000}"/>
    <cellStyle name="60% - Ênfase3 2" xfId="23" xr:uid="{00000000-0005-0000-0000-00000E000000}"/>
    <cellStyle name="60% - Ênfase4 2" xfId="24" xr:uid="{00000000-0005-0000-0000-00000F000000}"/>
    <cellStyle name="60% - Ênfase5 2" xfId="25" xr:uid="{00000000-0005-0000-0000-000010000000}"/>
    <cellStyle name="60% - Ênfase6 2" xfId="26" xr:uid="{00000000-0005-0000-0000-000011000000}"/>
    <cellStyle name="Bom 2" xfId="27" xr:uid="{00000000-0005-0000-0000-000012000000}"/>
    <cellStyle name="Cálculo 2" xfId="28" xr:uid="{00000000-0005-0000-0000-000013000000}"/>
    <cellStyle name="Célula de Verificação 2" xfId="29" xr:uid="{00000000-0005-0000-0000-000014000000}"/>
    <cellStyle name="Célula Vinculada 2" xfId="30" xr:uid="{00000000-0005-0000-0000-000015000000}"/>
    <cellStyle name="Ênfase1 2" xfId="31" xr:uid="{00000000-0005-0000-0000-000016000000}"/>
    <cellStyle name="Ênfase2 2" xfId="32" xr:uid="{00000000-0005-0000-0000-000017000000}"/>
    <cellStyle name="Ênfase3 2" xfId="33" xr:uid="{00000000-0005-0000-0000-000018000000}"/>
    <cellStyle name="Ênfase4 2" xfId="34" xr:uid="{00000000-0005-0000-0000-000019000000}"/>
    <cellStyle name="Ênfase5 2" xfId="35" xr:uid="{00000000-0005-0000-0000-00001A000000}"/>
    <cellStyle name="Ênfase6 2" xfId="36" xr:uid="{00000000-0005-0000-0000-00001B000000}"/>
    <cellStyle name="Entrada 2" xfId="37" xr:uid="{00000000-0005-0000-0000-00001C000000}"/>
    <cellStyle name="Hiperlink" xfId="6" builtinId="8"/>
    <cellStyle name="Hiperlink 2" xfId="101" xr:uid="{00000000-0005-0000-0000-00001E000000}"/>
    <cellStyle name="Incorreto 2" xfId="38" xr:uid="{00000000-0005-0000-0000-00001F000000}"/>
    <cellStyle name="Moeda 12" xfId="71" xr:uid="{00000000-0005-0000-0000-000020000000}"/>
    <cellStyle name="Moeda 2" xfId="5" xr:uid="{00000000-0005-0000-0000-000021000000}"/>
    <cellStyle name="Moeda 2 2" xfId="80" xr:uid="{00000000-0005-0000-0000-000022000000}"/>
    <cellStyle name="Moeda 2 3" xfId="39" xr:uid="{00000000-0005-0000-0000-000023000000}"/>
    <cellStyle name="Moeda 2 4" xfId="107" xr:uid="{00000000-0005-0000-0000-000024000000}"/>
    <cellStyle name="Moeda 3" xfId="54" xr:uid="{00000000-0005-0000-0000-000025000000}"/>
    <cellStyle name="Moeda 3 2" xfId="67" xr:uid="{00000000-0005-0000-0000-000026000000}"/>
    <cellStyle name="Moeda 4" xfId="64" xr:uid="{00000000-0005-0000-0000-000027000000}"/>
    <cellStyle name="Moeda 4 2" xfId="85" xr:uid="{00000000-0005-0000-0000-000028000000}"/>
    <cellStyle name="Moeda 5" xfId="7" xr:uid="{00000000-0005-0000-0000-000029000000}"/>
    <cellStyle name="Moeda 6" xfId="108" xr:uid="{00000000-0005-0000-0000-00002A000000}"/>
    <cellStyle name="Moeda 60" xfId="83" xr:uid="{00000000-0005-0000-0000-00002B000000}"/>
    <cellStyle name="Moeda 9" xfId="103" xr:uid="{00000000-0005-0000-0000-00002C000000}"/>
    <cellStyle name="Neutra 2" xfId="40" xr:uid="{00000000-0005-0000-0000-00002D000000}"/>
    <cellStyle name="Normal" xfId="0" builtinId="0"/>
    <cellStyle name="Normal 10" xfId="73" xr:uid="{00000000-0005-0000-0000-00002F000000}"/>
    <cellStyle name="Normal 10 3 2" xfId="104" xr:uid="{00000000-0005-0000-0000-000030000000}"/>
    <cellStyle name="Normal 11" xfId="58" xr:uid="{00000000-0005-0000-0000-000031000000}"/>
    <cellStyle name="Normal 11 2" xfId="102" xr:uid="{00000000-0005-0000-0000-000032000000}"/>
    <cellStyle name="Normal 120" xfId="99" xr:uid="{00000000-0005-0000-0000-000033000000}"/>
    <cellStyle name="Normal 133" xfId="95" xr:uid="{00000000-0005-0000-0000-000034000000}"/>
    <cellStyle name="Normal 2" xfId="8" xr:uid="{00000000-0005-0000-0000-000035000000}"/>
    <cellStyle name="Normal 2 10 10" xfId="96" xr:uid="{00000000-0005-0000-0000-000036000000}"/>
    <cellStyle name="Normal 2 2" xfId="59" xr:uid="{00000000-0005-0000-0000-000037000000}"/>
    <cellStyle name="Normal 2 2 2 2" xfId="79" xr:uid="{00000000-0005-0000-0000-000038000000}"/>
    <cellStyle name="Normal 3" xfId="53" xr:uid="{00000000-0005-0000-0000-000039000000}"/>
    <cellStyle name="Normal 3 2" xfId="66" xr:uid="{00000000-0005-0000-0000-00003A000000}"/>
    <cellStyle name="Normal 3 2 2" xfId="78" xr:uid="{00000000-0005-0000-0000-00003B000000}"/>
    <cellStyle name="Normal 3 2 2 3" xfId="92" xr:uid="{00000000-0005-0000-0000-00003C000000}"/>
    <cellStyle name="Normal 3 2 4" xfId="75" xr:uid="{00000000-0005-0000-0000-00003D000000}"/>
    <cellStyle name="Normal 3 3 2" xfId="74" xr:uid="{00000000-0005-0000-0000-00003E000000}"/>
    <cellStyle name="Normal 3 5" xfId="87" xr:uid="{00000000-0005-0000-0000-00003F000000}"/>
    <cellStyle name="Normal 4" xfId="81" xr:uid="{00000000-0005-0000-0000-000040000000}"/>
    <cellStyle name="Normal 5" xfId="82" xr:uid="{00000000-0005-0000-0000-000041000000}"/>
    <cellStyle name="Normal 96" xfId="88" xr:uid="{00000000-0005-0000-0000-000042000000}"/>
    <cellStyle name="Normal_Composições" xfId="3" xr:uid="{00000000-0005-0000-0000-000043000000}"/>
    <cellStyle name="Nota 2" xfId="41" xr:uid="{00000000-0005-0000-0000-000044000000}"/>
    <cellStyle name="Nota 3" xfId="55" xr:uid="{00000000-0005-0000-0000-000045000000}"/>
    <cellStyle name="Nota 3 2" xfId="68" xr:uid="{00000000-0005-0000-0000-000046000000}"/>
    <cellStyle name="PLANILHA ANALITICA" xfId="60" xr:uid="{00000000-0005-0000-0000-000047000000}"/>
    <cellStyle name="Porcentagem" xfId="2" builtinId="5"/>
    <cellStyle name="Porcentagem 2" xfId="42" xr:uid="{00000000-0005-0000-0000-000049000000}"/>
    <cellStyle name="Porcentagem 2 2" xfId="61" xr:uid="{00000000-0005-0000-0000-00004A000000}"/>
    <cellStyle name="Porcentagem 3" xfId="56" xr:uid="{00000000-0005-0000-0000-00004B000000}"/>
    <cellStyle name="Porcentagem 3 2" xfId="69" xr:uid="{00000000-0005-0000-0000-00004C000000}"/>
    <cellStyle name="Porcentagem 4" xfId="63" xr:uid="{00000000-0005-0000-0000-00004D000000}"/>
    <cellStyle name="Saída 2" xfId="43" xr:uid="{00000000-0005-0000-0000-00004E000000}"/>
    <cellStyle name="Separador de milhares 2" xfId="86" xr:uid="{00000000-0005-0000-0000-00004F000000}"/>
    <cellStyle name="Separador de milhares 2 2" xfId="116" xr:uid="{00000000-0005-0000-0000-000050000000}"/>
    <cellStyle name="Separador de milhares_MODELO CÂMARA" xfId="4" xr:uid="{00000000-0005-0000-0000-000051000000}"/>
    <cellStyle name="Texto de Aviso 2" xfId="45" xr:uid="{00000000-0005-0000-0000-000052000000}"/>
    <cellStyle name="Texto Explicativo 2" xfId="46" xr:uid="{00000000-0005-0000-0000-000053000000}"/>
    <cellStyle name="Título 1 2" xfId="48" xr:uid="{00000000-0005-0000-0000-000054000000}"/>
    <cellStyle name="Título 2 2" xfId="49" xr:uid="{00000000-0005-0000-0000-000055000000}"/>
    <cellStyle name="Título 3 2" xfId="50" xr:uid="{00000000-0005-0000-0000-000056000000}"/>
    <cellStyle name="Título 4 2" xfId="51" xr:uid="{00000000-0005-0000-0000-000057000000}"/>
    <cellStyle name="Título 5" xfId="47" xr:uid="{00000000-0005-0000-0000-000058000000}"/>
    <cellStyle name="Total 2" xfId="52" xr:uid="{00000000-0005-0000-0000-000059000000}"/>
    <cellStyle name="Vírgula" xfId="1" builtinId="3"/>
    <cellStyle name="Vírgula 10" xfId="97" xr:uid="{00000000-0005-0000-0000-00005B000000}"/>
    <cellStyle name="Vírgula 10 2" xfId="122" xr:uid="{00000000-0005-0000-0000-00005C000000}"/>
    <cellStyle name="Vírgula 2" xfId="44" xr:uid="{00000000-0005-0000-0000-00005D000000}"/>
    <cellStyle name="Vírgula 2 2" xfId="62" xr:uid="{00000000-0005-0000-0000-00005E000000}"/>
    <cellStyle name="Vírgula 2 2 2" xfId="100" xr:uid="{00000000-0005-0000-0000-00005F000000}"/>
    <cellStyle name="Vírgula 2 2 2 2" xfId="124" xr:uid="{00000000-0005-0000-0000-000060000000}"/>
    <cellStyle name="Vírgula 2 2 5" xfId="98" xr:uid="{00000000-0005-0000-0000-000061000000}"/>
    <cellStyle name="Vírgula 2 2 5 2" xfId="123" xr:uid="{00000000-0005-0000-0000-000062000000}"/>
    <cellStyle name="Vírgula 2 3" xfId="65" xr:uid="{00000000-0005-0000-0000-000063000000}"/>
    <cellStyle name="Vírgula 2 3 2" xfId="111" xr:uid="{00000000-0005-0000-0000-000064000000}"/>
    <cellStyle name="Vírgula 2 4" xfId="109" xr:uid="{00000000-0005-0000-0000-000065000000}"/>
    <cellStyle name="Vírgula 3" xfId="57" xr:uid="{00000000-0005-0000-0000-000066000000}"/>
    <cellStyle name="Vírgula 3 2" xfId="70" xr:uid="{00000000-0005-0000-0000-000067000000}"/>
    <cellStyle name="Vírgula 3 2 2" xfId="89" xr:uid="{00000000-0005-0000-0000-000068000000}"/>
    <cellStyle name="Vírgula 3 2 2 2" xfId="91" xr:uid="{00000000-0005-0000-0000-000069000000}"/>
    <cellStyle name="Vírgula 3 2 2 2 2" xfId="119" xr:uid="{00000000-0005-0000-0000-00006A000000}"/>
    <cellStyle name="Vírgula 3 2 2 3" xfId="117" xr:uid="{00000000-0005-0000-0000-00006B000000}"/>
    <cellStyle name="Vírgula 3 2 3" xfId="93" xr:uid="{00000000-0005-0000-0000-00006C000000}"/>
    <cellStyle name="Vírgula 3 2 3 2" xfId="120" xr:uid="{00000000-0005-0000-0000-00006D000000}"/>
    <cellStyle name="Vírgula 3 2 4" xfId="112" xr:uid="{00000000-0005-0000-0000-00006E000000}"/>
    <cellStyle name="Vírgula 3 3" xfId="110" xr:uid="{00000000-0005-0000-0000-00006F000000}"/>
    <cellStyle name="Vírgula 3 3 2" xfId="90" xr:uid="{00000000-0005-0000-0000-000070000000}"/>
    <cellStyle name="Vírgula 3 3 2 2" xfId="118" xr:uid="{00000000-0005-0000-0000-000071000000}"/>
    <cellStyle name="Vírgula 3 3 3" xfId="76" xr:uid="{00000000-0005-0000-0000-000072000000}"/>
    <cellStyle name="Vírgula 3 3 3 2" xfId="114" xr:uid="{00000000-0005-0000-0000-000073000000}"/>
    <cellStyle name="Vírgula 3 4" xfId="94" xr:uid="{00000000-0005-0000-0000-000074000000}"/>
    <cellStyle name="Vírgula 3 4 2" xfId="121" xr:uid="{00000000-0005-0000-0000-000075000000}"/>
    <cellStyle name="Vírgula 4" xfId="84" xr:uid="{00000000-0005-0000-0000-000076000000}"/>
    <cellStyle name="Vírgula 4 2" xfId="105" xr:uid="{00000000-0005-0000-0000-000077000000}"/>
    <cellStyle name="Vírgula 4 2 2" xfId="125" xr:uid="{00000000-0005-0000-0000-000078000000}"/>
    <cellStyle name="Vírgula 4 3" xfId="115" xr:uid="{00000000-0005-0000-0000-000079000000}"/>
    <cellStyle name="Vírgula 5" xfId="72" xr:uid="{00000000-0005-0000-0000-00007A000000}"/>
    <cellStyle name="Vírgula 5 2" xfId="113" xr:uid="{00000000-0005-0000-0000-00007B000000}"/>
    <cellStyle name="Vírgula 6" xfId="106" xr:uid="{00000000-0005-0000-0000-00007C000000}"/>
    <cellStyle name="常规_Phase 1.5 Expansion(850)RS 2" xfId="77" xr:uid="{00000000-0005-0000-0000-00007D000000}"/>
  </cellStyles>
  <dxfs count="2302">
    <dxf>
      <font>
        <color rgb="FFFF0000"/>
      </font>
    </dxf>
    <dxf>
      <font>
        <color rgb="FFFF0000"/>
      </font>
    </dxf>
    <dxf>
      <font>
        <color rgb="FFFF0000"/>
      </font>
    </dxf>
    <dxf>
      <font>
        <color rgb="FFFF0000"/>
      </font>
    </dxf>
    <dxf>
      <fill>
        <patternFill>
          <bgColor rgb="FFFFC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FF"/>
      </font>
    </dxf>
    <dxf>
      <fill>
        <patternFill>
          <bgColor rgb="FFFF0000"/>
        </patternFill>
      </fill>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76200</xdr:rowOff>
    </xdr:from>
    <xdr:to>
      <xdr:col>11</xdr:col>
      <xdr:colOff>186578</xdr:colOff>
      <xdr:row>4</xdr:row>
      <xdr:rowOff>264318</xdr:rowOff>
    </xdr:to>
    <xdr:sp macro="" textlink="">
      <xdr:nvSpPr>
        <xdr:cNvPr id="4124" name="CommandButton1" hidden="1">
          <a:extLst>
            <a:ext uri="{63B3BB69-23CF-44E3-9099-C40C66FF867C}">
              <a14:compatExt xmlns:a14="http://schemas.microsoft.com/office/drawing/2010/main" spid="_x0000_s4124"/>
            </a:ext>
            <a:ext uri="{FF2B5EF4-FFF2-40B4-BE49-F238E27FC236}">
              <a16:creationId xmlns:a16="http://schemas.microsoft.com/office/drawing/2014/main" id="{AB4325E4-263B-4A6E-BB84-9450B2F7E73C}"/>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266700</xdr:colOff>
      <xdr:row>0</xdr:row>
      <xdr:rowOff>47625</xdr:rowOff>
    </xdr:from>
    <xdr:to>
      <xdr:col>11</xdr:col>
      <xdr:colOff>488156</xdr:colOff>
      <xdr:row>1</xdr:row>
      <xdr:rowOff>276225</xdr:rowOff>
    </xdr:to>
    <xdr:sp macro="" textlink="">
      <xdr:nvSpPr>
        <xdr:cNvPr id="4126" name="CommandButton2" hidden="1">
          <a:extLst>
            <a:ext uri="{63B3BB69-23CF-44E3-9099-C40C66FF867C}">
              <a14:compatExt xmlns:a14="http://schemas.microsoft.com/office/drawing/2010/main" spid="_x0000_s4126"/>
            </a:ext>
            <a:ext uri="{FF2B5EF4-FFF2-40B4-BE49-F238E27FC236}">
              <a16:creationId xmlns:a16="http://schemas.microsoft.com/office/drawing/2014/main" id="{88E27A7A-2301-4D25-A570-C6ED4980A2E4}"/>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266700</xdr:colOff>
      <xdr:row>2</xdr:row>
      <xdr:rowOff>66675</xdr:rowOff>
    </xdr:from>
    <xdr:to>
      <xdr:col>11</xdr:col>
      <xdr:colOff>488156</xdr:colOff>
      <xdr:row>4</xdr:row>
      <xdr:rowOff>140493</xdr:rowOff>
    </xdr:to>
    <xdr:sp macro="" textlink="">
      <xdr:nvSpPr>
        <xdr:cNvPr id="4127" name="CommandButton3" hidden="1">
          <a:extLst>
            <a:ext uri="{63B3BB69-23CF-44E3-9099-C40C66FF867C}">
              <a14:compatExt xmlns:a14="http://schemas.microsoft.com/office/drawing/2010/main" spid="_x0000_s4127"/>
            </a:ext>
            <a:ext uri="{FF2B5EF4-FFF2-40B4-BE49-F238E27FC236}">
              <a16:creationId xmlns:a16="http://schemas.microsoft.com/office/drawing/2014/main" id="{F09C3939-A3F5-4FDB-AAE7-4576911F771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57150</xdr:rowOff>
    </xdr:from>
    <xdr:to>
      <xdr:col>10</xdr:col>
      <xdr:colOff>219075</xdr:colOff>
      <xdr:row>1</xdr:row>
      <xdr:rowOff>285750</xdr:rowOff>
    </xdr:to>
    <xdr:sp macro="" textlink="">
      <xdr:nvSpPr>
        <xdr:cNvPr id="5148" name="CommandButton1" hidden="1">
          <a:extLst>
            <a:ext uri="{63B3BB69-23CF-44E3-9099-C40C66FF867C}">
              <a14:compatExt xmlns:a14="http://schemas.microsoft.com/office/drawing/2010/main" spid="_x0000_s5148"/>
            </a:ext>
            <a:ext uri="{FF2B5EF4-FFF2-40B4-BE49-F238E27FC236}">
              <a16:creationId xmlns:a16="http://schemas.microsoft.com/office/drawing/2014/main" id="{872414FF-4BDB-4464-9C9F-C29C5EF0D15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2</xdr:row>
      <xdr:rowOff>38100</xdr:rowOff>
    </xdr:from>
    <xdr:to>
      <xdr:col>10</xdr:col>
      <xdr:colOff>219075</xdr:colOff>
      <xdr:row>4</xdr:row>
      <xdr:rowOff>169068</xdr:rowOff>
    </xdr:to>
    <xdr:sp macro="" textlink="">
      <xdr:nvSpPr>
        <xdr:cNvPr id="5149" name="CommandButton2" hidden="1">
          <a:extLst>
            <a:ext uri="{63B3BB69-23CF-44E3-9099-C40C66FF867C}">
              <a14:compatExt xmlns:a14="http://schemas.microsoft.com/office/drawing/2010/main" spid="_x0000_s5149"/>
            </a:ext>
            <a:ext uri="{FF2B5EF4-FFF2-40B4-BE49-F238E27FC236}">
              <a16:creationId xmlns:a16="http://schemas.microsoft.com/office/drawing/2014/main" id="{16360958-FAF6-441B-B969-3858981F094C}"/>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57150</xdr:rowOff>
    </xdr:from>
    <xdr:to>
      <xdr:col>10</xdr:col>
      <xdr:colOff>228600</xdr:colOff>
      <xdr:row>1</xdr:row>
      <xdr:rowOff>285750</xdr:rowOff>
    </xdr:to>
    <xdr:sp macro="" textlink="">
      <xdr:nvSpPr>
        <xdr:cNvPr id="6154" name="CommandButton1" hidden="1">
          <a:extLst>
            <a:ext uri="{63B3BB69-23CF-44E3-9099-C40C66FF867C}">
              <a14:compatExt xmlns:a14="http://schemas.microsoft.com/office/drawing/2010/main" spid="_x0000_s6154"/>
            </a:ext>
            <a:ext uri="{FF2B5EF4-FFF2-40B4-BE49-F238E27FC236}">
              <a16:creationId xmlns:a16="http://schemas.microsoft.com/office/drawing/2014/main" id="{72E545A2-22EB-468B-BF42-70C4D731381E}"/>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2</xdr:row>
      <xdr:rowOff>66675</xdr:rowOff>
    </xdr:from>
    <xdr:to>
      <xdr:col>10</xdr:col>
      <xdr:colOff>228600</xdr:colOff>
      <xdr:row>4</xdr:row>
      <xdr:rowOff>92868</xdr:rowOff>
    </xdr:to>
    <xdr:sp macro="" textlink="">
      <xdr:nvSpPr>
        <xdr:cNvPr id="6155" name="CommandButton2" hidden="1">
          <a:extLst>
            <a:ext uri="{63B3BB69-23CF-44E3-9099-C40C66FF867C}">
              <a14:compatExt xmlns:a14="http://schemas.microsoft.com/office/drawing/2010/main" spid="_x0000_s6155"/>
            </a:ext>
            <a:ext uri="{FF2B5EF4-FFF2-40B4-BE49-F238E27FC236}">
              <a16:creationId xmlns:a16="http://schemas.microsoft.com/office/drawing/2014/main" id="{2C0BAA92-CC07-4C00-800B-121223C9431E}"/>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19050</xdr:rowOff>
    </xdr:from>
    <xdr:to>
      <xdr:col>11</xdr:col>
      <xdr:colOff>595312</xdr:colOff>
      <xdr:row>1</xdr:row>
      <xdr:rowOff>76200</xdr:rowOff>
    </xdr:to>
    <xdr:sp macro="" textlink="">
      <xdr:nvSpPr>
        <xdr:cNvPr id="2" name="CommandButton1" hidden="1">
          <a:extLst>
            <a:ext uri="{63B3BB69-23CF-44E3-9099-C40C66FF867C}">
              <a14:compatExt xmlns:a14="http://schemas.microsoft.com/office/drawing/2010/main" spid="_x0000_s11266"/>
            </a:ext>
            <a:ext uri="{FF2B5EF4-FFF2-40B4-BE49-F238E27FC236}">
              <a16:creationId xmlns:a16="http://schemas.microsoft.com/office/drawing/2014/main" id="{69B3AF1F-C095-4A14-B4FF-2E7D9086F075}"/>
            </a:ext>
          </a:extLst>
        </xdr:cNvPr>
        <xdr:cNvSpPr/>
      </xdr:nvSpPr>
      <xdr:spPr bwMode="auto">
        <a:xfrm>
          <a:off x="19869150" y="19050"/>
          <a:ext cx="1197769" cy="3714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0</xdr:colOff>
      <xdr:row>1</xdr:row>
      <xdr:rowOff>95250</xdr:rowOff>
    </xdr:from>
    <xdr:to>
      <xdr:col>12</xdr:col>
      <xdr:colOff>1587</xdr:colOff>
      <xdr:row>3</xdr:row>
      <xdr:rowOff>190500</xdr:rowOff>
    </xdr:to>
    <xdr:sp macro="" textlink="">
      <xdr:nvSpPr>
        <xdr:cNvPr id="3" name="CommandButton2" hidden="1">
          <a:extLst>
            <a:ext uri="{63B3BB69-23CF-44E3-9099-C40C66FF867C}">
              <a14:compatExt xmlns:a14="http://schemas.microsoft.com/office/drawing/2010/main" spid="_x0000_s11267"/>
            </a:ext>
            <a:ext uri="{FF2B5EF4-FFF2-40B4-BE49-F238E27FC236}">
              <a16:creationId xmlns:a16="http://schemas.microsoft.com/office/drawing/2014/main" id="{447176A3-217E-484D-A638-F6CFD4D0A4F1}"/>
            </a:ext>
          </a:extLst>
        </xdr:cNvPr>
        <xdr:cNvSpPr/>
      </xdr:nvSpPr>
      <xdr:spPr bwMode="auto">
        <a:xfrm>
          <a:off x="19859625" y="409575"/>
          <a:ext cx="1207294" cy="657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30082</xdr:colOff>
      <xdr:row>18</xdr:row>
      <xdr:rowOff>120066</xdr:rowOff>
    </xdr:from>
    <xdr:to>
      <xdr:col>4</xdr:col>
      <xdr:colOff>490421</xdr:colOff>
      <xdr:row>36</xdr:row>
      <xdr:rowOff>26769</xdr:rowOff>
    </xdr:to>
    <xdr:pic>
      <xdr:nvPicPr>
        <xdr:cNvPr id="2" name="Imagem 1">
          <a:extLst>
            <a:ext uri="{FF2B5EF4-FFF2-40B4-BE49-F238E27FC236}">
              <a16:creationId xmlns:a16="http://schemas.microsoft.com/office/drawing/2014/main" id="{656868C2-726C-4F85-8760-4FE08709ADA2}"/>
            </a:ext>
          </a:extLst>
        </xdr:cNvPr>
        <xdr:cNvPicPr>
          <a:picLocks noChangeAspect="1"/>
        </xdr:cNvPicPr>
      </xdr:nvPicPr>
      <xdr:blipFill>
        <a:blip xmlns:r="http://schemas.openxmlformats.org/officeDocument/2006/relationships" r:embed="rId1"/>
        <a:stretch>
          <a:fillRect/>
        </a:stretch>
      </xdr:blipFill>
      <xdr:spPr>
        <a:xfrm>
          <a:off x="637301" y="7085222"/>
          <a:ext cx="6635714" cy="333570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enverimper.com.br/files/produtos/0000001-0000500/122/e5fe48d2b8810574e94921c5fb6cea0c.pdf" TargetMode="External"/><Relationship Id="rId3" Type="http://schemas.openxmlformats.org/officeDocument/2006/relationships/hyperlink" Target="https://www.sherwin-williams.com.br/produto-detalhe/metalatex-eco-complementos" TargetMode="External"/><Relationship Id="rId7" Type="http://schemas.openxmlformats.org/officeDocument/2006/relationships/hyperlink" Target="http://www.denverimper.com.br/files/produtos/0000001-0000500/122/e5fe48d2b8810574e94921c5fb6cea0c.pdf" TargetMode="External"/><Relationship Id="rId2" Type="http://schemas.openxmlformats.org/officeDocument/2006/relationships/hyperlink" Target="https://www.suvinil.com.br/upload/78d22676-91b1-4086-99ad-4258fadd7b08-suvinil-fundo-seca-rapidomaio2018.pdf" TargetMode="External"/><Relationship Id="rId1" Type="http://schemas.openxmlformats.org/officeDocument/2006/relationships/hyperlink" Target="https://s3.amazonaws.com/mapa-da-obra-producao/wp-content/uploads/2015/12/2101-matrix-revestimento-interno.pdf" TargetMode="External"/><Relationship Id="rId6" Type="http://schemas.openxmlformats.org/officeDocument/2006/relationships/hyperlink" Target="http://vedacit.com.br/produtos/primer-eco-vedacit" TargetMode="External"/><Relationship Id="rId11" Type="http://schemas.openxmlformats.org/officeDocument/2006/relationships/vmlDrawing" Target="../drawings/vmlDrawing1.vml"/><Relationship Id="rId5" Type="http://schemas.openxmlformats.org/officeDocument/2006/relationships/hyperlink" Target="http://www.bautechbrasil.com.br/produtos/pinturas-especiais-e-complementos/bautech-resina-acr%C3%ADlica-multiuso" TargetMode="External"/><Relationship Id="rId10" Type="http://schemas.openxmlformats.org/officeDocument/2006/relationships/drawing" Target="../drawings/drawing1.xml"/><Relationship Id="rId4" Type="http://schemas.openxmlformats.org/officeDocument/2006/relationships/hyperlink" Target="http://www.bautechbrasil.com.br/produtos/selantes-especiais/bautech-selante-acr%C3%ADlic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4" filterMode="1">
    <pageSetUpPr fitToPage="1"/>
  </sheetPr>
  <dimension ref="A1:J6118"/>
  <sheetViews>
    <sheetView zoomScale="80" zoomScaleNormal="80" zoomScaleSheetLayoutView="70" workbookViewId="0">
      <pane ySplit="5" topLeftCell="A6" activePane="bottomLeft" state="frozen"/>
      <selection pane="bottomLeft" activeCell="A6" sqref="A6:A9"/>
    </sheetView>
  </sheetViews>
  <sheetFormatPr defaultRowHeight="14.4" x14ac:dyDescent="0.3"/>
  <cols>
    <col min="1" max="1" width="14.6640625" customWidth="1"/>
    <col min="2" max="2" width="50.6640625" customWidth="1"/>
    <col min="3" max="3" width="65.6640625" style="4" customWidth="1"/>
    <col min="4" max="4" width="15.6640625" customWidth="1"/>
    <col min="5" max="5" width="20.6640625" customWidth="1"/>
    <col min="6" max="6" width="15.6640625" customWidth="1"/>
    <col min="7" max="8" width="17.6640625" customWidth="1"/>
    <col min="9" max="9" width="5.6640625" customWidth="1"/>
    <col min="10" max="10" width="14.44140625" customWidth="1"/>
  </cols>
  <sheetData>
    <row r="1" spans="1:10" ht="24.9" customHeight="1" x14ac:dyDescent="0.3">
      <c r="A1" s="6" t="str">
        <f>Orçamentária!A1</f>
        <v>Nova central de geração de energia elétrica de emergência</v>
      </c>
      <c r="B1" s="6"/>
      <c r="C1" s="6"/>
      <c r="D1" s="6"/>
      <c r="E1" s="7"/>
      <c r="F1" s="6"/>
      <c r="G1" s="6"/>
      <c r="H1" s="6"/>
      <c r="I1" s="8"/>
      <c r="J1" s="9"/>
    </row>
    <row r="2" spans="1:10" ht="24.9" customHeight="1" x14ac:dyDescent="0.3">
      <c r="A2" s="10" t="s">
        <v>0</v>
      </c>
      <c r="B2" s="11"/>
      <c r="C2" s="132"/>
      <c r="D2" s="11"/>
      <c r="E2" s="12"/>
      <c r="F2" s="11"/>
      <c r="G2" s="11"/>
      <c r="H2" s="11"/>
      <c r="I2" s="13"/>
      <c r="J2" s="9"/>
    </row>
    <row r="3" spans="1:10" ht="20.100000000000001" customHeight="1" x14ac:dyDescent="0.3">
      <c r="A3" s="14" t="str">
        <f>Orçamentária!A3</f>
        <v>Data: Setembro de 2021</v>
      </c>
      <c r="B3" s="14"/>
      <c r="C3" s="133"/>
      <c r="D3" s="14"/>
      <c r="E3" s="15"/>
      <c r="F3" s="14"/>
      <c r="G3" s="14"/>
      <c r="H3" s="14"/>
      <c r="J3" s="9"/>
    </row>
    <row r="4" spans="1:10" ht="15" thickBot="1" x14ac:dyDescent="0.35">
      <c r="A4" s="16"/>
      <c r="B4" s="16"/>
      <c r="C4" s="175"/>
      <c r="D4" s="16"/>
      <c r="E4" s="17"/>
      <c r="F4" s="16"/>
      <c r="G4" s="18"/>
      <c r="H4" s="16"/>
      <c r="I4" s="16"/>
      <c r="J4" s="19"/>
    </row>
    <row r="5" spans="1:10" ht="28.2" thickBot="1" x14ac:dyDescent="0.35">
      <c r="A5" s="20" t="s">
        <v>1</v>
      </c>
      <c r="B5" s="21" t="s">
        <v>2</v>
      </c>
      <c r="C5" s="176" t="s">
        <v>3</v>
      </c>
      <c r="D5" s="21" t="s">
        <v>4</v>
      </c>
      <c r="E5" s="22" t="s">
        <v>5</v>
      </c>
      <c r="F5" s="21" t="s">
        <v>6</v>
      </c>
      <c r="G5" s="21" t="s">
        <v>7</v>
      </c>
      <c r="H5" s="23" t="s">
        <v>8</v>
      </c>
      <c r="I5" s="24"/>
      <c r="J5" s="25" t="s">
        <v>9</v>
      </c>
    </row>
    <row r="6" spans="1:10" ht="15" thickBot="1" x14ac:dyDescent="0.35">
      <c r="A6" s="226" t="s">
        <v>10</v>
      </c>
      <c r="B6" s="223" t="str">
        <f>INDEX(Orçamentária!A:B,MATCH(Composições!A6,Orçamentária!A:A,0),2)</f>
        <v>Engenheiro(a) /Arquiteto(a) júnior</v>
      </c>
      <c r="C6" s="41"/>
      <c r="D6" s="26" t="str">
        <f>TRIM(INDEX(Orçamentária!C:C,MATCH(Composições!A6,Orçamentária!A:A,0),1))</f>
        <v>hh</v>
      </c>
      <c r="E6" s="27"/>
      <c r="F6" s="28" t="s">
        <v>560</v>
      </c>
      <c r="G6" s="28" t="str">
        <f t="shared" ref="G6:G69" si="0">IF(ISNUMBER(F6),E6*F6,"")</f>
        <v/>
      </c>
      <c r="H6" s="29"/>
      <c r="I6" s="30"/>
      <c r="J6" s="155">
        <v>1408</v>
      </c>
    </row>
    <row r="7" spans="1:10" x14ac:dyDescent="0.3">
      <c r="A7" s="229"/>
      <c r="B7" s="224"/>
      <c r="C7" s="32"/>
      <c r="D7" s="32"/>
      <c r="E7" s="33"/>
      <c r="F7" s="31" t="s">
        <v>560</v>
      </c>
      <c r="G7" s="34" t="str">
        <f t="shared" si="0"/>
        <v/>
      </c>
      <c r="H7" s="35"/>
      <c r="I7" s="31"/>
      <c r="J7" s="155">
        <v>1408</v>
      </c>
    </row>
    <row r="8" spans="1:10" x14ac:dyDescent="0.3">
      <c r="A8" s="229"/>
      <c r="B8" s="224"/>
      <c r="C8" s="36" t="s">
        <v>11</v>
      </c>
      <c r="D8" s="36" t="s">
        <v>12</v>
      </c>
      <c r="E8" s="37">
        <v>1</v>
      </c>
      <c r="F8" s="31">
        <v>78.990499999999997</v>
      </c>
      <c r="G8" s="34">
        <f t="shared" si="0"/>
        <v>78.990499999999997</v>
      </c>
      <c r="H8" s="39">
        <f>SUM(G8:G8)</f>
        <v>78.990499999999997</v>
      </c>
      <c r="I8" s="40"/>
      <c r="J8" s="155">
        <v>1408</v>
      </c>
    </row>
    <row r="9" spans="1:10" ht="15" thickBot="1" x14ac:dyDescent="0.35">
      <c r="A9" s="230"/>
      <c r="B9" s="225"/>
      <c r="C9" s="36"/>
      <c r="D9" s="36"/>
      <c r="E9" s="37"/>
      <c r="F9" s="31" t="s">
        <v>560</v>
      </c>
      <c r="G9" s="34" t="str">
        <f t="shared" si="0"/>
        <v/>
      </c>
      <c r="H9" s="35"/>
      <c r="I9" s="31"/>
      <c r="J9" s="155">
        <v>1408</v>
      </c>
    </row>
    <row r="10" spans="1:10" ht="15" thickBot="1" x14ac:dyDescent="0.35">
      <c r="A10" s="242" t="s">
        <v>13</v>
      </c>
      <c r="B10" s="223" t="str">
        <f>INDEX(Orçamentária!A:B,MATCH(Composições!A10,Orçamentária!A:A,0),2)</f>
        <v>Mestre de obras</v>
      </c>
      <c r="C10" s="41"/>
      <c r="D10" s="26" t="str">
        <f>TRIM(INDEX(Orçamentária!C:C,MATCH(Composições!A10,Orçamentária!A:A,0),1))</f>
        <v>hh</v>
      </c>
      <c r="E10" s="27"/>
      <c r="F10" s="42" t="s">
        <v>560</v>
      </c>
      <c r="G10" s="28" t="str">
        <f t="shared" si="0"/>
        <v/>
      </c>
      <c r="H10" s="29"/>
      <c r="I10" s="30"/>
      <c r="J10" s="155">
        <v>1408</v>
      </c>
    </row>
    <row r="11" spans="1:10" x14ac:dyDescent="0.3">
      <c r="A11" s="243"/>
      <c r="B11" s="224"/>
      <c r="C11" s="32"/>
      <c r="D11" s="32"/>
      <c r="E11" s="33"/>
      <c r="F11" s="43" t="s">
        <v>560</v>
      </c>
      <c r="G11" s="31" t="str">
        <f t="shared" si="0"/>
        <v/>
      </c>
      <c r="H11" s="35"/>
      <c r="I11" s="31"/>
      <c r="J11" s="155">
        <v>1408</v>
      </c>
    </row>
    <row r="12" spans="1:10" x14ac:dyDescent="0.3">
      <c r="A12" s="243"/>
      <c r="B12" s="224"/>
      <c r="C12" s="36" t="s">
        <v>14</v>
      </c>
      <c r="D12" s="36" t="s">
        <v>12</v>
      </c>
      <c r="E12" s="37">
        <v>1</v>
      </c>
      <c r="F12" s="31">
        <v>24.3185</v>
      </c>
      <c r="G12" s="34">
        <f t="shared" si="0"/>
        <v>24.3185</v>
      </c>
      <c r="H12" s="39">
        <f>SUM(G12:G12)</f>
        <v>24.3185</v>
      </c>
      <c r="I12" s="40"/>
      <c r="J12" s="155">
        <v>1408</v>
      </c>
    </row>
    <row r="13" spans="1:10" ht="15" thickBot="1" x14ac:dyDescent="0.35">
      <c r="A13" s="243"/>
      <c r="B13" s="224"/>
      <c r="C13" s="36"/>
      <c r="D13" s="36"/>
      <c r="E13" s="37"/>
      <c r="F13" s="31" t="s">
        <v>560</v>
      </c>
      <c r="G13" s="31" t="str">
        <f t="shared" si="0"/>
        <v/>
      </c>
      <c r="H13" s="35"/>
      <c r="I13" s="31"/>
      <c r="J13" s="155">
        <v>1408</v>
      </c>
    </row>
    <row r="14" spans="1:10" ht="15" thickBot="1" x14ac:dyDescent="0.35">
      <c r="A14" s="226" t="s">
        <v>15</v>
      </c>
      <c r="B14" s="223" t="str">
        <f>INDEX(Orçamentária!A:B,MATCH(Composições!A14,Orçamentária!A:A,0),2)</f>
        <v>Planejamento físico-financeiro</v>
      </c>
      <c r="C14" s="41"/>
      <c r="D14" s="26" t="str">
        <f>TRIM(INDEX(Orçamentária!C:C,MATCH(Composições!A14,Orçamentária!A:A,0),1))</f>
        <v>un</v>
      </c>
      <c r="E14" s="27"/>
      <c r="F14" s="42" t="s">
        <v>560</v>
      </c>
      <c r="G14" s="28" t="str">
        <f t="shared" si="0"/>
        <v/>
      </c>
      <c r="H14" s="29"/>
      <c r="I14" s="30"/>
      <c r="J14" s="155">
        <v>1</v>
      </c>
    </row>
    <row r="15" spans="1:10" x14ac:dyDescent="0.3">
      <c r="A15" s="229"/>
      <c r="B15" s="224"/>
      <c r="C15" s="32"/>
      <c r="D15" s="32"/>
      <c r="E15" s="33"/>
      <c r="F15" s="43" t="s">
        <v>560</v>
      </c>
      <c r="G15" s="31" t="str">
        <f t="shared" si="0"/>
        <v/>
      </c>
      <c r="H15" s="35"/>
      <c r="I15" s="31"/>
      <c r="J15" s="155">
        <v>1</v>
      </c>
    </row>
    <row r="16" spans="1:10" x14ac:dyDescent="0.3">
      <c r="A16" s="229"/>
      <c r="B16" s="224"/>
      <c r="C16" s="36" t="s">
        <v>16</v>
      </c>
      <c r="D16" s="36" t="s">
        <v>12</v>
      </c>
      <c r="E16" s="37">
        <v>16</v>
      </c>
      <c r="F16" s="31">
        <v>89.768500000000003</v>
      </c>
      <c r="G16" s="31">
        <f t="shared" si="0"/>
        <v>1436.296</v>
      </c>
      <c r="H16" s="39">
        <f>SUM(G16:G16)</f>
        <v>1436.296</v>
      </c>
      <c r="I16" s="40"/>
      <c r="J16" s="155">
        <v>1</v>
      </c>
    </row>
    <row r="17" spans="1:10" ht="15" thickBot="1" x14ac:dyDescent="0.35">
      <c r="A17" s="230"/>
      <c r="B17" s="225"/>
      <c r="C17" s="36"/>
      <c r="D17" s="36"/>
      <c r="E17" s="37"/>
      <c r="F17" s="31" t="s">
        <v>560</v>
      </c>
      <c r="G17" s="31" t="str">
        <f t="shared" si="0"/>
        <v/>
      </c>
      <c r="H17" s="35"/>
      <c r="I17" s="31"/>
      <c r="J17" s="155">
        <v>1</v>
      </c>
    </row>
    <row r="18" spans="1:10" ht="15" thickBot="1" x14ac:dyDescent="0.35">
      <c r="A18" s="226" t="s">
        <v>17</v>
      </c>
      <c r="B18" s="223" t="str">
        <f>INDEX(Orçamentária!A:B,MATCH(Composições!A18,Orçamentária!A:A,0),2)</f>
        <v>Projetos de segurança do trabalho</v>
      </c>
      <c r="C18" s="41"/>
      <c r="D18" s="26" t="str">
        <f>TRIM(INDEX(Orçamentária!C:C,MATCH(Composições!A18,Orçamentária!A:A,0),1))</f>
        <v>un</v>
      </c>
      <c r="E18" s="27"/>
      <c r="F18" s="42" t="s">
        <v>560</v>
      </c>
      <c r="G18" s="28" t="str">
        <f t="shared" si="0"/>
        <v/>
      </c>
      <c r="H18" s="29"/>
      <c r="I18" s="30"/>
      <c r="J18" s="155">
        <v>1</v>
      </c>
    </row>
    <row r="19" spans="1:10" x14ac:dyDescent="0.3">
      <c r="A19" s="229"/>
      <c r="B19" s="224"/>
      <c r="C19" s="32"/>
      <c r="D19" s="32"/>
      <c r="E19" s="33"/>
      <c r="F19" s="43" t="s">
        <v>560</v>
      </c>
      <c r="G19" s="31" t="str">
        <f t="shared" si="0"/>
        <v/>
      </c>
      <c r="H19" s="35"/>
      <c r="I19" s="31"/>
      <c r="J19" s="155">
        <v>1</v>
      </c>
    </row>
    <row r="20" spans="1:10" x14ac:dyDescent="0.3">
      <c r="A20" s="229"/>
      <c r="B20" s="224"/>
      <c r="C20" s="36" t="s">
        <v>18</v>
      </c>
      <c r="D20" s="36" t="s">
        <v>12</v>
      </c>
      <c r="E20" s="37">
        <v>20</v>
      </c>
      <c r="F20" s="31">
        <v>90.057500000000005</v>
      </c>
      <c r="G20" s="31">
        <f t="shared" si="0"/>
        <v>1801.15</v>
      </c>
      <c r="H20" s="39">
        <f>SUM(G20:G21)</f>
        <v>2035.0900000000001</v>
      </c>
      <c r="I20" s="40"/>
      <c r="J20" s="155">
        <v>1</v>
      </c>
    </row>
    <row r="21" spans="1:10" x14ac:dyDescent="0.3">
      <c r="A21" s="229"/>
      <c r="B21" s="224"/>
      <c r="C21" s="36" t="s">
        <v>19</v>
      </c>
      <c r="D21" s="36" t="s">
        <v>20</v>
      </c>
      <c r="E21" s="37">
        <v>1</v>
      </c>
      <c r="F21" s="34">
        <v>233.94</v>
      </c>
      <c r="G21" s="31">
        <f t="shared" si="0"/>
        <v>233.94</v>
      </c>
      <c r="H21" s="35"/>
      <c r="I21" s="31"/>
      <c r="J21" s="155">
        <v>1</v>
      </c>
    </row>
    <row r="22" spans="1:10" ht="15" thickBot="1" x14ac:dyDescent="0.35">
      <c r="A22" s="230"/>
      <c r="B22" s="225"/>
      <c r="C22" s="36"/>
      <c r="D22" s="36"/>
      <c r="E22" s="37"/>
      <c r="F22" s="31" t="s">
        <v>560</v>
      </c>
      <c r="G22" s="31" t="str">
        <f t="shared" si="0"/>
        <v/>
      </c>
      <c r="H22" s="35"/>
      <c r="I22" s="31"/>
      <c r="J22" s="155">
        <v>1</v>
      </c>
    </row>
    <row r="23" spans="1:10" ht="15" thickBot="1" x14ac:dyDescent="0.35">
      <c r="A23" s="226" t="s">
        <v>21</v>
      </c>
      <c r="B23" s="223" t="str">
        <f>INDEX(Orçamentária!A:B,MATCH(Composições!A23,Orçamentária!A:A,0),2)</f>
        <v>Demolição de alvenarias</v>
      </c>
      <c r="C23" s="41"/>
      <c r="D23" s="26" t="str">
        <f>TRIM(INDEX(Orçamentária!C:C,MATCH(Composições!A23,Orçamentária!A:A,0),1))</f>
        <v>m3</v>
      </c>
      <c r="E23" s="27"/>
      <c r="F23" s="42" t="s">
        <v>560</v>
      </c>
      <c r="G23" s="28" t="str">
        <f t="shared" si="0"/>
        <v/>
      </c>
      <c r="H23" s="29"/>
      <c r="I23" s="30"/>
      <c r="J23" s="155">
        <v>62.81</v>
      </c>
    </row>
    <row r="24" spans="1:10" x14ac:dyDescent="0.3">
      <c r="A24" s="229"/>
      <c r="B24" s="224"/>
      <c r="C24" s="32"/>
      <c r="D24" s="32"/>
      <c r="E24" s="33"/>
      <c r="F24" s="43" t="s">
        <v>560</v>
      </c>
      <c r="G24" s="31" t="str">
        <f t="shared" si="0"/>
        <v/>
      </c>
      <c r="H24" s="35"/>
      <c r="I24" s="31"/>
      <c r="J24" s="155">
        <v>62.81</v>
      </c>
    </row>
    <row r="25" spans="1:10" x14ac:dyDescent="0.3">
      <c r="A25" s="229"/>
      <c r="B25" s="224"/>
      <c r="C25" s="36" t="s">
        <v>22</v>
      </c>
      <c r="D25" s="36" t="s">
        <v>12</v>
      </c>
      <c r="E25" s="37">
        <v>0.22500000000000001</v>
      </c>
      <c r="F25" s="31">
        <v>20.314999999999998</v>
      </c>
      <c r="G25" s="34">
        <f t="shared" si="0"/>
        <v>4.570875</v>
      </c>
      <c r="H25" s="39">
        <f>SUM(G25:G26)</f>
        <v>39.369643799999999</v>
      </c>
      <c r="I25" s="40"/>
      <c r="J25" s="155">
        <v>62.81</v>
      </c>
    </row>
    <row r="26" spans="1:10" x14ac:dyDescent="0.3">
      <c r="A26" s="229"/>
      <c r="B26" s="224"/>
      <c r="C26" s="36" t="s">
        <v>23</v>
      </c>
      <c r="D26" s="36" t="s">
        <v>12</v>
      </c>
      <c r="E26" s="37">
        <v>2.3248000000000002</v>
      </c>
      <c r="F26" s="31">
        <v>14.968499999999999</v>
      </c>
      <c r="G26" s="34">
        <f t="shared" si="0"/>
        <v>34.798768799999998</v>
      </c>
      <c r="H26" s="44"/>
      <c r="I26" s="40"/>
      <c r="J26" s="155">
        <v>62.81</v>
      </c>
    </row>
    <row r="27" spans="1:10" ht="15" thickBot="1" x14ac:dyDescent="0.35">
      <c r="A27" s="230"/>
      <c r="B27" s="225"/>
      <c r="C27" s="36"/>
      <c r="D27" s="36"/>
      <c r="E27" s="37"/>
      <c r="F27" s="31" t="s">
        <v>560</v>
      </c>
      <c r="G27" s="31" t="str">
        <f t="shared" si="0"/>
        <v/>
      </c>
      <c r="H27" s="35"/>
      <c r="I27" s="31"/>
      <c r="J27" s="155">
        <v>62.81</v>
      </c>
    </row>
    <row r="28" spans="1:10" ht="15" thickBot="1" x14ac:dyDescent="0.35">
      <c r="A28" s="226" t="s">
        <v>24</v>
      </c>
      <c r="B28" s="223" t="str">
        <f>INDEX(Orçamentária!A:B,MATCH(Composições!A28,Orçamentária!A:A,0),2)</f>
        <v>Demolição de concreto simples</v>
      </c>
      <c r="C28" s="41"/>
      <c r="D28" s="26" t="str">
        <f>TRIM(INDEX(Orçamentária!C:C,MATCH(Composições!A28,Orçamentária!A:A,0),1))</f>
        <v>m3</v>
      </c>
      <c r="E28" s="27"/>
      <c r="F28" s="42" t="s">
        <v>560</v>
      </c>
      <c r="G28" s="28" t="str">
        <f t="shared" si="0"/>
        <v/>
      </c>
      <c r="H28" s="29"/>
      <c r="I28" s="30"/>
      <c r="J28" s="155">
        <v>35.39</v>
      </c>
    </row>
    <row r="29" spans="1:10" x14ac:dyDescent="0.3">
      <c r="A29" s="229"/>
      <c r="B29" s="224"/>
      <c r="C29" s="32"/>
      <c r="D29" s="32"/>
      <c r="E29" s="33"/>
      <c r="F29" s="43" t="s">
        <v>560</v>
      </c>
      <c r="G29" s="31" t="str">
        <f t="shared" si="0"/>
        <v/>
      </c>
      <c r="H29" s="35"/>
      <c r="I29" s="31"/>
      <c r="J29" s="155">
        <v>35.39</v>
      </c>
    </row>
    <row r="30" spans="1:10" x14ac:dyDescent="0.3">
      <c r="A30" s="229"/>
      <c r="B30" s="224"/>
      <c r="C30" s="36" t="s">
        <v>22</v>
      </c>
      <c r="D30" s="36" t="s">
        <v>12</v>
      </c>
      <c r="E30" s="37">
        <v>1.3</v>
      </c>
      <c r="F30" s="31">
        <v>20.314999999999998</v>
      </c>
      <c r="G30" s="34">
        <f t="shared" si="0"/>
        <v>26.409499999999998</v>
      </c>
      <c r="H30" s="39">
        <f>SUM(G30:G31)</f>
        <v>221</v>
      </c>
      <c r="I30" s="40"/>
      <c r="J30" s="155">
        <v>35.39</v>
      </c>
    </row>
    <row r="31" spans="1:10" x14ac:dyDescent="0.3">
      <c r="A31" s="229"/>
      <c r="B31" s="224"/>
      <c r="C31" s="36" t="s">
        <v>23</v>
      </c>
      <c r="D31" s="36" t="s">
        <v>12</v>
      </c>
      <c r="E31" s="37">
        <v>13</v>
      </c>
      <c r="F31" s="31">
        <v>14.968499999999999</v>
      </c>
      <c r="G31" s="34">
        <f t="shared" si="0"/>
        <v>194.59049999999999</v>
      </c>
      <c r="H31" s="35"/>
      <c r="I31" s="31"/>
      <c r="J31" s="155">
        <v>35.39</v>
      </c>
    </row>
    <row r="32" spans="1:10" ht="15" thickBot="1" x14ac:dyDescent="0.35">
      <c r="A32" s="230"/>
      <c r="B32" s="225"/>
      <c r="C32" s="36"/>
      <c r="D32" s="36"/>
      <c r="E32" s="37"/>
      <c r="F32" s="31" t="s">
        <v>560</v>
      </c>
      <c r="G32" s="31" t="str">
        <f t="shared" si="0"/>
        <v/>
      </c>
      <c r="H32" s="35"/>
      <c r="I32" s="31"/>
      <c r="J32" s="155">
        <v>35.39</v>
      </c>
    </row>
    <row r="33" spans="1:10" ht="15" hidden="1" thickBot="1" x14ac:dyDescent="0.35">
      <c r="A33" s="226" t="s">
        <v>25</v>
      </c>
      <c r="B33" s="223" t="e">
        <f>INDEX(#REF!,MATCH(Composições!A33,#REF!,0),2)</f>
        <v>#REF!</v>
      </c>
      <c r="C33" s="41"/>
      <c r="D33" s="26" t="e">
        <f>TRIM(INDEX(#REF!,MATCH(Composições!A33,#REF!,0),1))</f>
        <v>#REF!</v>
      </c>
      <c r="E33" s="27"/>
      <c r="F33" s="42" t="s">
        <v>560</v>
      </c>
      <c r="G33" s="28" t="str">
        <f t="shared" si="0"/>
        <v/>
      </c>
      <c r="H33" s="29"/>
      <c r="I33" s="30"/>
      <c r="J33" s="155">
        <v>0</v>
      </c>
    </row>
    <row r="34" spans="1:10" ht="15" hidden="1" thickBot="1" x14ac:dyDescent="0.35">
      <c r="A34" s="229"/>
      <c r="B34" s="224"/>
      <c r="C34" s="32"/>
      <c r="D34" s="32"/>
      <c r="E34" s="33"/>
      <c r="F34" s="43" t="s">
        <v>560</v>
      </c>
      <c r="G34" s="31" t="str">
        <f t="shared" si="0"/>
        <v/>
      </c>
      <c r="H34" s="35"/>
      <c r="I34" s="31"/>
      <c r="J34" s="155">
        <v>0</v>
      </c>
    </row>
    <row r="35" spans="1:10" ht="15" hidden="1" thickBot="1" x14ac:dyDescent="0.35">
      <c r="A35" s="229"/>
      <c r="B35" s="224"/>
      <c r="C35" s="36" t="s">
        <v>23</v>
      </c>
      <c r="D35" s="36" t="s">
        <v>12</v>
      </c>
      <c r="E35" s="37">
        <v>0.7</v>
      </c>
      <c r="F35" s="31">
        <v>14.968499999999999</v>
      </c>
      <c r="G35" s="34">
        <f t="shared" si="0"/>
        <v>10.477949999999998</v>
      </c>
      <c r="H35" s="39">
        <f>SUM(G35:G35)</f>
        <v>10.477949999999998</v>
      </c>
      <c r="I35" s="40"/>
      <c r="J35" s="155">
        <v>0</v>
      </c>
    </row>
    <row r="36" spans="1:10" ht="15" hidden="1" thickBot="1" x14ac:dyDescent="0.35">
      <c r="A36" s="230"/>
      <c r="B36" s="225"/>
      <c r="C36" s="36"/>
      <c r="D36" s="36"/>
      <c r="E36" s="37"/>
      <c r="F36" s="31" t="s">
        <v>560</v>
      </c>
      <c r="G36" s="31" t="str">
        <f t="shared" si="0"/>
        <v/>
      </c>
      <c r="H36" s="35"/>
      <c r="I36" s="31"/>
      <c r="J36" s="155">
        <v>0</v>
      </c>
    </row>
    <row r="37" spans="1:10" ht="15" hidden="1" thickBot="1" x14ac:dyDescent="0.35">
      <c r="A37" s="226" t="s">
        <v>26</v>
      </c>
      <c r="B37" s="223" t="e">
        <f>INDEX(#REF!,MATCH(Composições!A37,#REF!,0),2)</f>
        <v>#REF!</v>
      </c>
      <c r="C37" s="41"/>
      <c r="D37" s="26" t="e">
        <f>TRIM(INDEX(#REF!,MATCH(Composições!A37,#REF!,0),1))</f>
        <v>#REF!</v>
      </c>
      <c r="E37" s="27"/>
      <c r="F37" s="42" t="s">
        <v>560</v>
      </c>
      <c r="G37" s="28" t="str">
        <f t="shared" si="0"/>
        <v/>
      </c>
      <c r="H37" s="29"/>
      <c r="I37" s="30"/>
      <c r="J37" s="155">
        <v>0</v>
      </c>
    </row>
    <row r="38" spans="1:10" ht="15" hidden="1" thickBot="1" x14ac:dyDescent="0.35">
      <c r="A38" s="229"/>
      <c r="B38" s="224"/>
      <c r="C38" s="32"/>
      <c r="D38" s="32"/>
      <c r="E38" s="33"/>
      <c r="F38" s="43" t="s">
        <v>560</v>
      </c>
      <c r="G38" s="31" t="str">
        <f t="shared" si="0"/>
        <v/>
      </c>
      <c r="H38" s="35"/>
      <c r="I38" s="31"/>
      <c r="J38" s="155">
        <v>0</v>
      </c>
    </row>
    <row r="39" spans="1:10" ht="15" hidden="1" thickBot="1" x14ac:dyDescent="0.35">
      <c r="A39" s="229"/>
      <c r="B39" s="224"/>
      <c r="C39" s="36" t="s">
        <v>27</v>
      </c>
      <c r="D39" s="36" t="s">
        <v>12</v>
      </c>
      <c r="E39" s="37">
        <v>0.1186</v>
      </c>
      <c r="F39" s="31">
        <v>15.4785</v>
      </c>
      <c r="G39" s="34">
        <f t="shared" si="0"/>
        <v>1.8357501000000001</v>
      </c>
      <c r="H39" s="39">
        <f>SUM(G39:G40)</f>
        <v>5.3219137499999993</v>
      </c>
      <c r="I39" s="40"/>
      <c r="J39" s="155">
        <v>0</v>
      </c>
    </row>
    <row r="40" spans="1:10" ht="15" hidden="1" thickBot="1" x14ac:dyDescent="0.35">
      <c r="A40" s="229"/>
      <c r="B40" s="224"/>
      <c r="C40" s="36" t="s">
        <v>23</v>
      </c>
      <c r="D40" s="36" t="s">
        <v>12</v>
      </c>
      <c r="E40" s="37">
        <v>0.2329</v>
      </c>
      <c r="F40" s="31">
        <v>14.968499999999999</v>
      </c>
      <c r="G40" s="34">
        <f t="shared" si="0"/>
        <v>3.4861636499999995</v>
      </c>
      <c r="H40" s="45"/>
      <c r="I40" s="46"/>
      <c r="J40" s="155">
        <v>0</v>
      </c>
    </row>
    <row r="41" spans="1:10" ht="15" hidden="1" thickBot="1" x14ac:dyDescent="0.35">
      <c r="A41" s="230"/>
      <c r="B41" s="225"/>
      <c r="C41" s="36"/>
      <c r="D41" s="36"/>
      <c r="E41" s="37"/>
      <c r="F41" s="31" t="s">
        <v>560</v>
      </c>
      <c r="G41" s="31" t="str">
        <f t="shared" si="0"/>
        <v/>
      </c>
      <c r="H41" s="35"/>
      <c r="I41" s="31"/>
      <c r="J41" s="155">
        <v>0</v>
      </c>
    </row>
    <row r="42" spans="1:10" ht="15" hidden="1" thickBot="1" x14ac:dyDescent="0.35">
      <c r="A42" s="226" t="s">
        <v>28</v>
      </c>
      <c r="B42" s="223" t="e">
        <f>INDEX(#REF!,MATCH(Composições!A42,#REF!,0),2)</f>
        <v>#REF!</v>
      </c>
      <c r="C42" s="41"/>
      <c r="D42" s="26" t="e">
        <f>TRIM(INDEX(#REF!,MATCH(Composições!A42,#REF!,0),1))</f>
        <v>#REF!</v>
      </c>
      <c r="E42" s="27"/>
      <c r="F42" s="42" t="s">
        <v>560</v>
      </c>
      <c r="G42" s="28" t="str">
        <f t="shared" si="0"/>
        <v/>
      </c>
      <c r="H42" s="29"/>
      <c r="I42" s="30"/>
      <c r="J42" s="155">
        <v>0</v>
      </c>
    </row>
    <row r="43" spans="1:10" ht="15" hidden="1" thickBot="1" x14ac:dyDescent="0.35">
      <c r="A43" s="229"/>
      <c r="B43" s="224"/>
      <c r="C43" s="32"/>
      <c r="D43" s="32"/>
      <c r="E43" s="33"/>
      <c r="F43" s="43" t="s">
        <v>560</v>
      </c>
      <c r="G43" s="31" t="str">
        <f t="shared" si="0"/>
        <v/>
      </c>
      <c r="H43" s="35"/>
      <c r="I43" s="31"/>
      <c r="J43" s="155">
        <v>0</v>
      </c>
    </row>
    <row r="44" spans="1:10" ht="15" hidden="1" thickBot="1" x14ac:dyDescent="0.35">
      <c r="A44" s="229"/>
      <c r="B44" s="224"/>
      <c r="C44" s="36" t="s">
        <v>27</v>
      </c>
      <c r="D44" s="36" t="s">
        <v>12</v>
      </c>
      <c r="E44" s="37">
        <v>2.58E-2</v>
      </c>
      <c r="F44" s="31">
        <v>15.4785</v>
      </c>
      <c r="G44" s="34">
        <f t="shared" si="0"/>
        <v>0.39934530000000001</v>
      </c>
      <c r="H44" s="39">
        <f>SUM(G44:G45)</f>
        <v>1.15824825</v>
      </c>
      <c r="I44" s="40"/>
      <c r="J44" s="155">
        <v>0</v>
      </c>
    </row>
    <row r="45" spans="1:10" ht="15" hidden="1" thickBot="1" x14ac:dyDescent="0.35">
      <c r="A45" s="229"/>
      <c r="B45" s="224"/>
      <c r="C45" s="36" t="s">
        <v>23</v>
      </c>
      <c r="D45" s="36" t="s">
        <v>12</v>
      </c>
      <c r="E45" s="37">
        <v>5.0700000000000002E-2</v>
      </c>
      <c r="F45" s="31">
        <v>14.968499999999999</v>
      </c>
      <c r="G45" s="34">
        <f t="shared" si="0"/>
        <v>0.75890294999999997</v>
      </c>
      <c r="H45" s="35"/>
      <c r="I45" s="31"/>
      <c r="J45" s="155">
        <v>0</v>
      </c>
    </row>
    <row r="46" spans="1:10" ht="15" hidden="1" thickBot="1" x14ac:dyDescent="0.35">
      <c r="A46" s="230"/>
      <c r="B46" s="225"/>
      <c r="C46" s="36"/>
      <c r="D46" s="36"/>
      <c r="E46" s="37"/>
      <c r="F46" s="31" t="s">
        <v>560</v>
      </c>
      <c r="G46" s="31" t="str">
        <f t="shared" si="0"/>
        <v/>
      </c>
      <c r="H46" s="35"/>
      <c r="I46" s="31"/>
      <c r="J46" s="155">
        <v>0</v>
      </c>
    </row>
    <row r="47" spans="1:10" ht="15" hidden="1" thickBot="1" x14ac:dyDescent="0.35">
      <c r="A47" s="226" t="s">
        <v>29</v>
      </c>
      <c r="B47" s="223" t="e">
        <f>INDEX(#REF!,MATCH(Composições!A47,#REF!,0),2)</f>
        <v>#REF!</v>
      </c>
      <c r="C47" s="41"/>
      <c r="D47" s="26" t="e">
        <f>TRIM(INDEX(#REF!,MATCH(Composições!A47,#REF!,0),1))</f>
        <v>#REF!</v>
      </c>
      <c r="E47" s="27"/>
      <c r="F47" s="42" t="s">
        <v>560</v>
      </c>
      <c r="G47" s="28" t="str">
        <f t="shared" si="0"/>
        <v/>
      </c>
      <c r="H47" s="29"/>
      <c r="I47" s="30"/>
      <c r="J47" s="155">
        <v>0</v>
      </c>
    </row>
    <row r="48" spans="1:10" ht="15" hidden="1" thickBot="1" x14ac:dyDescent="0.35">
      <c r="A48" s="229"/>
      <c r="B48" s="224"/>
      <c r="C48" s="32"/>
      <c r="D48" s="32"/>
      <c r="E48" s="33"/>
      <c r="F48" s="43" t="s">
        <v>560</v>
      </c>
      <c r="G48" s="31" t="str">
        <f t="shared" si="0"/>
        <v/>
      </c>
      <c r="H48" s="35"/>
      <c r="I48" s="31"/>
      <c r="J48" s="155">
        <v>0</v>
      </c>
    </row>
    <row r="49" spans="1:10" ht="15" hidden="1" thickBot="1" x14ac:dyDescent="0.35">
      <c r="A49" s="229"/>
      <c r="B49" s="224"/>
      <c r="C49" s="36" t="s">
        <v>30</v>
      </c>
      <c r="D49" s="36" t="s">
        <v>12</v>
      </c>
      <c r="E49" s="37">
        <f>ROUND(0.0096*5,4)</f>
        <v>4.8000000000000001E-2</v>
      </c>
      <c r="F49" s="31">
        <v>20.484999999999999</v>
      </c>
      <c r="G49" s="34">
        <f t="shared" si="0"/>
        <v>0.98328000000000004</v>
      </c>
      <c r="H49" s="39">
        <f>SUM(G49:G50)</f>
        <v>2.3903189999999999</v>
      </c>
      <c r="I49" s="40"/>
      <c r="J49" s="155">
        <v>0</v>
      </c>
    </row>
    <row r="50" spans="1:10" ht="15" hidden="1" thickBot="1" x14ac:dyDescent="0.35">
      <c r="A50" s="229"/>
      <c r="B50" s="224"/>
      <c r="C50" s="36" t="s">
        <v>23</v>
      </c>
      <c r="D50" s="36" t="s">
        <v>12</v>
      </c>
      <c r="E50" s="37">
        <f>ROUND(0.0188*5,4)</f>
        <v>9.4E-2</v>
      </c>
      <c r="F50" s="31">
        <v>14.968499999999999</v>
      </c>
      <c r="G50" s="34">
        <f t="shared" si="0"/>
        <v>1.4070389999999999</v>
      </c>
      <c r="H50" s="35"/>
      <c r="I50" s="31"/>
      <c r="J50" s="155">
        <v>0</v>
      </c>
    </row>
    <row r="51" spans="1:10" ht="15" hidden="1" thickBot="1" x14ac:dyDescent="0.35">
      <c r="A51" s="230"/>
      <c r="B51" s="225"/>
      <c r="C51" s="36"/>
      <c r="D51" s="36"/>
      <c r="E51" s="37"/>
      <c r="F51" s="31" t="s">
        <v>560</v>
      </c>
      <c r="G51" s="31" t="str">
        <f t="shared" si="0"/>
        <v/>
      </c>
      <c r="H51" s="35"/>
      <c r="I51" s="31"/>
      <c r="J51" s="155">
        <v>0</v>
      </c>
    </row>
    <row r="52" spans="1:10" ht="15" hidden="1" thickBot="1" x14ac:dyDescent="0.35">
      <c r="A52" s="226" t="s">
        <v>31</v>
      </c>
      <c r="B52" s="223" t="e">
        <f>INDEX(#REF!,MATCH(Composições!A52,#REF!,0),2)</f>
        <v>#REF!</v>
      </c>
      <c r="C52" s="41"/>
      <c r="D52" s="26" t="e">
        <f>TRIM(INDEX(#REF!,MATCH(Composições!A52,#REF!,0),1))</f>
        <v>#REF!</v>
      </c>
      <c r="E52" s="27"/>
      <c r="F52" s="42" t="s">
        <v>560</v>
      </c>
      <c r="G52" s="28" t="str">
        <f t="shared" si="0"/>
        <v/>
      </c>
      <c r="H52" s="29"/>
      <c r="I52" s="30"/>
      <c r="J52" s="155">
        <v>0</v>
      </c>
    </row>
    <row r="53" spans="1:10" ht="15" hidden="1" thickBot="1" x14ac:dyDescent="0.35">
      <c r="A53" s="229"/>
      <c r="B53" s="224"/>
      <c r="C53" s="32"/>
      <c r="D53" s="32"/>
      <c r="E53" s="33"/>
      <c r="F53" s="43" t="s">
        <v>560</v>
      </c>
      <c r="G53" s="31" t="str">
        <f t="shared" si="0"/>
        <v/>
      </c>
      <c r="H53" s="35"/>
      <c r="I53" s="31"/>
      <c r="J53" s="155">
        <v>0</v>
      </c>
    </row>
    <row r="54" spans="1:10" ht="27" hidden="1" thickBot="1" x14ac:dyDescent="0.35">
      <c r="A54" s="229"/>
      <c r="B54" s="224"/>
      <c r="C54" s="36" t="s">
        <v>32</v>
      </c>
      <c r="D54" s="36" t="s">
        <v>33</v>
      </c>
      <c r="E54" s="37">
        <v>6.9900000000000004E-2</v>
      </c>
      <c r="F54" s="34">
        <v>18.904</v>
      </c>
      <c r="G54" s="34">
        <f t="shared" si="0"/>
        <v>1.3213896000000001</v>
      </c>
      <c r="H54" s="39">
        <f>SUM(G54:G57)</f>
        <v>8.7467907</v>
      </c>
      <c r="I54" s="40"/>
      <c r="J54" s="155">
        <v>0</v>
      </c>
    </row>
    <row r="55" spans="1:10" ht="27" hidden="1" thickBot="1" x14ac:dyDescent="0.35">
      <c r="A55" s="229"/>
      <c r="B55" s="224"/>
      <c r="C55" s="36" t="s">
        <v>34</v>
      </c>
      <c r="D55" s="36" t="s">
        <v>35</v>
      </c>
      <c r="E55" s="37">
        <v>4.82E-2</v>
      </c>
      <c r="F55" s="34">
        <v>17.442</v>
      </c>
      <c r="G55" s="34">
        <f t="shared" si="0"/>
        <v>0.84070440000000002</v>
      </c>
      <c r="H55" s="35"/>
      <c r="I55" s="31"/>
      <c r="J55" s="155">
        <v>0</v>
      </c>
    </row>
    <row r="56" spans="1:10" ht="15" hidden="1" thickBot="1" x14ac:dyDescent="0.35">
      <c r="A56" s="229"/>
      <c r="B56" s="224"/>
      <c r="C56" s="36" t="s">
        <v>36</v>
      </c>
      <c r="D56" s="36" t="s">
        <v>12</v>
      </c>
      <c r="E56" s="37">
        <v>0.1055</v>
      </c>
      <c r="F56" s="31">
        <v>20.247</v>
      </c>
      <c r="G56" s="34">
        <f t="shared" si="0"/>
        <v>2.1360584999999999</v>
      </c>
      <c r="H56" s="35"/>
      <c r="I56" s="31"/>
      <c r="J56" s="155">
        <v>0</v>
      </c>
    </row>
    <row r="57" spans="1:10" ht="15" hidden="1" thickBot="1" x14ac:dyDescent="0.35">
      <c r="A57" s="229"/>
      <c r="B57" s="224"/>
      <c r="C57" s="36" t="s">
        <v>23</v>
      </c>
      <c r="D57" s="36" t="s">
        <v>12</v>
      </c>
      <c r="E57" s="37">
        <v>0.29720000000000002</v>
      </c>
      <c r="F57" s="31">
        <v>14.968499999999999</v>
      </c>
      <c r="G57" s="34">
        <f t="shared" si="0"/>
        <v>4.4486381999999995</v>
      </c>
      <c r="H57" s="35"/>
      <c r="I57" s="31"/>
      <c r="J57" s="155">
        <v>0</v>
      </c>
    </row>
    <row r="58" spans="1:10" ht="15" hidden="1" thickBot="1" x14ac:dyDescent="0.35">
      <c r="A58" s="230"/>
      <c r="B58" s="225"/>
      <c r="C58" s="36"/>
      <c r="D58" s="36"/>
      <c r="E58" s="37"/>
      <c r="F58" s="31" t="s">
        <v>560</v>
      </c>
      <c r="G58" s="31" t="str">
        <f t="shared" si="0"/>
        <v/>
      </c>
      <c r="H58" s="35"/>
      <c r="I58" s="31"/>
      <c r="J58" s="155">
        <v>0</v>
      </c>
    </row>
    <row r="59" spans="1:10" ht="15" hidden="1" thickBot="1" x14ac:dyDescent="0.35">
      <c r="A59" s="226" t="s">
        <v>37</v>
      </c>
      <c r="B59" s="223" t="e">
        <f>INDEX(#REF!,MATCH(Composições!A59,#REF!,0),2)</f>
        <v>#REF!</v>
      </c>
      <c r="C59" s="41"/>
      <c r="D59" s="26" t="e">
        <f>TRIM(INDEX(#REF!,MATCH(Composições!A59,#REF!,0),1))</f>
        <v>#REF!</v>
      </c>
      <c r="E59" s="27"/>
      <c r="F59" s="42" t="s">
        <v>560</v>
      </c>
      <c r="G59" s="28" t="str">
        <f t="shared" si="0"/>
        <v/>
      </c>
      <c r="H59" s="29"/>
      <c r="I59" s="30"/>
      <c r="J59" s="155">
        <v>0</v>
      </c>
    </row>
    <row r="60" spans="1:10" ht="15" hidden="1" thickBot="1" x14ac:dyDescent="0.35">
      <c r="A60" s="229"/>
      <c r="B60" s="224"/>
      <c r="C60" s="32"/>
      <c r="D60" s="32"/>
      <c r="E60" s="33"/>
      <c r="F60" s="43" t="s">
        <v>560</v>
      </c>
      <c r="G60" s="31" t="str">
        <f t="shared" si="0"/>
        <v/>
      </c>
      <c r="H60" s="35"/>
      <c r="I60" s="31"/>
      <c r="J60" s="155">
        <v>0</v>
      </c>
    </row>
    <row r="61" spans="1:10" ht="15" hidden="1" thickBot="1" x14ac:dyDescent="0.35">
      <c r="A61" s="229"/>
      <c r="B61" s="224"/>
      <c r="C61" s="36" t="s">
        <v>22</v>
      </c>
      <c r="D61" s="36" t="s">
        <v>12</v>
      </c>
      <c r="E61" s="37">
        <v>3.7400000000000003E-2</v>
      </c>
      <c r="F61" s="31">
        <v>20.314999999999998</v>
      </c>
      <c r="G61" s="34">
        <f t="shared" si="0"/>
        <v>0.75978099999999993</v>
      </c>
      <c r="H61" s="39">
        <f>SUM(G61:G62)</f>
        <v>2.3359640499999998</v>
      </c>
      <c r="I61" s="40"/>
      <c r="J61" s="155">
        <v>0</v>
      </c>
    </row>
    <row r="62" spans="1:10" ht="15" hidden="1" thickBot="1" x14ac:dyDescent="0.35">
      <c r="A62" s="229"/>
      <c r="B62" s="224"/>
      <c r="C62" s="36" t="s">
        <v>23</v>
      </c>
      <c r="D62" s="36" t="s">
        <v>12</v>
      </c>
      <c r="E62" s="37">
        <v>0.1053</v>
      </c>
      <c r="F62" s="31">
        <v>14.968499999999999</v>
      </c>
      <c r="G62" s="34">
        <f t="shared" si="0"/>
        <v>1.57618305</v>
      </c>
      <c r="H62" s="35"/>
      <c r="I62" s="31"/>
      <c r="J62" s="155">
        <v>0</v>
      </c>
    </row>
    <row r="63" spans="1:10" ht="15" hidden="1" thickBot="1" x14ac:dyDescent="0.35">
      <c r="A63" s="230"/>
      <c r="B63" s="225"/>
      <c r="C63" s="36"/>
      <c r="D63" s="36"/>
      <c r="E63" s="37"/>
      <c r="F63" s="31" t="s">
        <v>560</v>
      </c>
      <c r="G63" s="31" t="str">
        <f t="shared" si="0"/>
        <v/>
      </c>
      <c r="H63" s="35"/>
      <c r="I63" s="31"/>
      <c r="J63" s="155">
        <v>0</v>
      </c>
    </row>
    <row r="64" spans="1:10" ht="15" hidden="1" thickBot="1" x14ac:dyDescent="0.35">
      <c r="A64" s="226" t="s">
        <v>38</v>
      </c>
      <c r="B64" s="223" t="e">
        <f>INDEX(#REF!,MATCH(Composições!A64,#REF!,0),2)</f>
        <v>#REF!</v>
      </c>
      <c r="C64" s="41"/>
      <c r="D64" s="26" t="e">
        <f>TRIM(INDEX(#REF!,MATCH(Composições!A64,#REF!,0),1))</f>
        <v>#REF!</v>
      </c>
      <c r="E64" s="27"/>
      <c r="F64" s="42" t="s">
        <v>560</v>
      </c>
      <c r="G64" s="28" t="str">
        <f t="shared" si="0"/>
        <v/>
      </c>
      <c r="H64" s="29"/>
      <c r="I64" s="30"/>
      <c r="J64" s="155">
        <v>0</v>
      </c>
    </row>
    <row r="65" spans="1:10" ht="15" hidden="1" thickBot="1" x14ac:dyDescent="0.35">
      <c r="A65" s="229"/>
      <c r="B65" s="224"/>
      <c r="C65" s="32"/>
      <c r="D65" s="32"/>
      <c r="E65" s="33"/>
      <c r="F65" s="43" t="s">
        <v>560</v>
      </c>
      <c r="G65" s="31" t="str">
        <f t="shared" si="0"/>
        <v/>
      </c>
      <c r="H65" s="35"/>
      <c r="I65" s="31"/>
      <c r="J65" s="155">
        <v>0</v>
      </c>
    </row>
    <row r="66" spans="1:10" ht="15" hidden="1" thickBot="1" x14ac:dyDescent="0.35">
      <c r="A66" s="229"/>
      <c r="B66" s="224"/>
      <c r="C66" s="36" t="s">
        <v>39</v>
      </c>
      <c r="D66" s="47" t="s">
        <v>12</v>
      </c>
      <c r="E66" s="37">
        <v>7.1000000000000004E-3</v>
      </c>
      <c r="F66" s="31">
        <v>19.898499999999999</v>
      </c>
      <c r="G66" s="34">
        <f t="shared" si="0"/>
        <v>0.14127935</v>
      </c>
      <c r="H66" s="39">
        <f>SUM(G66:G67)</f>
        <v>0.35083834999999997</v>
      </c>
      <c r="I66" s="40"/>
      <c r="J66" s="155">
        <v>0</v>
      </c>
    </row>
    <row r="67" spans="1:10" ht="15" hidden="1" thickBot="1" x14ac:dyDescent="0.35">
      <c r="A67" s="229"/>
      <c r="B67" s="224"/>
      <c r="C67" s="36" t="s">
        <v>23</v>
      </c>
      <c r="D67" s="47" t="s">
        <v>12</v>
      </c>
      <c r="E67" s="37">
        <v>1.4E-2</v>
      </c>
      <c r="F67" s="31">
        <v>14.968499999999999</v>
      </c>
      <c r="G67" s="34">
        <f t="shared" si="0"/>
        <v>0.209559</v>
      </c>
      <c r="H67" s="35"/>
      <c r="I67" s="31"/>
      <c r="J67" s="155">
        <v>0</v>
      </c>
    </row>
    <row r="68" spans="1:10" ht="15" hidden="1" thickBot="1" x14ac:dyDescent="0.35">
      <c r="A68" s="230"/>
      <c r="B68" s="225"/>
      <c r="C68" s="36"/>
      <c r="D68" s="36"/>
      <c r="E68" s="37"/>
      <c r="F68" s="31" t="s">
        <v>560</v>
      </c>
      <c r="G68" s="31" t="str">
        <f t="shared" si="0"/>
        <v/>
      </c>
      <c r="H68" s="35"/>
      <c r="I68" s="31"/>
      <c r="J68" s="155">
        <v>0</v>
      </c>
    </row>
    <row r="69" spans="1:10" ht="15" thickBot="1" x14ac:dyDescent="0.35">
      <c r="A69" s="226" t="s">
        <v>40</v>
      </c>
      <c r="B69" s="223" t="str">
        <f>INDEX(Orçamentária!A:B,MATCH(Composições!A69,Orçamentária!A:A,0),2)</f>
        <v>Demolição em concreto armado</v>
      </c>
      <c r="C69" s="41"/>
      <c r="D69" s="26" t="str">
        <f>TRIM(INDEX(Orçamentária!C:C,MATCH(Composições!A69,Orçamentária!A:A,0),1))</f>
        <v>m3</v>
      </c>
      <c r="E69" s="27"/>
      <c r="F69" s="42" t="s">
        <v>560</v>
      </c>
      <c r="G69" s="28" t="str">
        <f t="shared" si="0"/>
        <v/>
      </c>
      <c r="H69" s="29"/>
      <c r="I69" s="30"/>
      <c r="J69" s="155">
        <v>40.299999999999997</v>
      </c>
    </row>
    <row r="70" spans="1:10" x14ac:dyDescent="0.3">
      <c r="A70" s="229"/>
      <c r="B70" s="224"/>
      <c r="C70" s="32"/>
      <c r="D70" s="32"/>
      <c r="E70" s="33"/>
      <c r="F70" s="43" t="s">
        <v>560</v>
      </c>
      <c r="G70" s="31" t="str">
        <f t="shared" ref="G70:G133" si="1">IF(ISNUMBER(F70),E70*F70,"")</f>
        <v/>
      </c>
      <c r="H70" s="35"/>
      <c r="I70" s="31"/>
      <c r="J70" s="155">
        <v>40.299999999999997</v>
      </c>
    </row>
    <row r="71" spans="1:10" ht="26.4" x14ac:dyDescent="0.3">
      <c r="A71" s="229"/>
      <c r="B71" s="224"/>
      <c r="C71" s="36" t="s">
        <v>32</v>
      </c>
      <c r="D71" s="36" t="s">
        <v>33</v>
      </c>
      <c r="E71" s="37">
        <v>3.2467999999999999</v>
      </c>
      <c r="F71" s="34">
        <v>18.904</v>
      </c>
      <c r="G71" s="34">
        <f t="shared" si="1"/>
        <v>61.377507199999997</v>
      </c>
      <c r="H71" s="39">
        <f>SUM(G71:G75)</f>
        <v>206.28667085000001</v>
      </c>
      <c r="I71" s="40"/>
      <c r="J71" s="155">
        <v>40.299999999999997</v>
      </c>
    </row>
    <row r="72" spans="1:10" ht="26.4" x14ac:dyDescent="0.3">
      <c r="A72" s="229"/>
      <c r="B72" s="224"/>
      <c r="C72" s="36" t="s">
        <v>34</v>
      </c>
      <c r="D72" s="36" t="s">
        <v>35</v>
      </c>
      <c r="E72" s="37">
        <v>0.92020000000000002</v>
      </c>
      <c r="F72" s="34">
        <v>17.442</v>
      </c>
      <c r="G72" s="34">
        <f t="shared" si="1"/>
        <v>16.050128400000002</v>
      </c>
      <c r="H72" s="35"/>
      <c r="I72" s="31"/>
      <c r="J72" s="155">
        <v>40.299999999999997</v>
      </c>
    </row>
    <row r="73" spans="1:10" ht="26.4" x14ac:dyDescent="0.3">
      <c r="A73" s="229"/>
      <c r="B73" s="224"/>
      <c r="C73" s="36" t="s">
        <v>41</v>
      </c>
      <c r="D73" s="36" t="s">
        <v>42</v>
      </c>
      <c r="E73" s="37">
        <v>0.28349999999999997</v>
      </c>
      <c r="F73" s="34">
        <v>61.573999999999998</v>
      </c>
      <c r="G73" s="31">
        <f t="shared" si="1"/>
        <v>17.456228999999997</v>
      </c>
      <c r="H73" s="35"/>
      <c r="I73" s="31"/>
      <c r="J73" s="155">
        <v>40.299999999999997</v>
      </c>
    </row>
    <row r="74" spans="1:10" x14ac:dyDescent="0.3">
      <c r="A74" s="229"/>
      <c r="B74" s="224"/>
      <c r="C74" s="36" t="s">
        <v>22</v>
      </c>
      <c r="D74" s="36" t="s">
        <v>12</v>
      </c>
      <c r="E74" s="37">
        <v>0.63660000000000005</v>
      </c>
      <c r="F74" s="31">
        <v>20.314999999999998</v>
      </c>
      <c r="G74" s="34">
        <f t="shared" si="1"/>
        <v>12.932528999999999</v>
      </c>
      <c r="H74" s="35"/>
      <c r="I74" s="31"/>
      <c r="J74" s="155">
        <v>40.299999999999997</v>
      </c>
    </row>
    <row r="75" spans="1:10" x14ac:dyDescent="0.3">
      <c r="A75" s="229"/>
      <c r="B75" s="224"/>
      <c r="C75" s="36" t="s">
        <v>23</v>
      </c>
      <c r="D75" s="36" t="s">
        <v>12</v>
      </c>
      <c r="E75" s="37">
        <v>6.5785</v>
      </c>
      <c r="F75" s="31">
        <v>14.968499999999999</v>
      </c>
      <c r="G75" s="34">
        <f t="shared" si="1"/>
        <v>98.470277249999995</v>
      </c>
      <c r="H75" s="35"/>
      <c r="I75" s="31"/>
      <c r="J75" s="155">
        <v>40.299999999999997</v>
      </c>
    </row>
    <row r="76" spans="1:10" ht="15" thickBot="1" x14ac:dyDescent="0.35">
      <c r="A76" s="230"/>
      <c r="B76" s="225"/>
      <c r="C76" s="36"/>
      <c r="D76" s="36"/>
      <c r="E76" s="37"/>
      <c r="F76" s="31" t="s">
        <v>560</v>
      </c>
      <c r="G76" s="31" t="str">
        <f t="shared" si="1"/>
        <v/>
      </c>
      <c r="H76" s="35"/>
      <c r="I76" s="31"/>
      <c r="J76" s="155">
        <v>40.299999999999997</v>
      </c>
    </row>
    <row r="77" spans="1:10" ht="15" hidden="1" thickBot="1" x14ac:dyDescent="0.35">
      <c r="A77" s="242" t="s">
        <v>43</v>
      </c>
      <c r="B77" s="223" t="e">
        <f>INDEX(#REF!,MATCH(Composições!A77,#REF!,0),2)</f>
        <v>#REF!</v>
      </c>
      <c r="C77" s="41"/>
      <c r="D77" s="26" t="e">
        <f>TRIM(INDEX(#REF!,MATCH(Composições!A77,#REF!,0),1))</f>
        <v>#REF!</v>
      </c>
      <c r="E77" s="27"/>
      <c r="F77" s="42" t="s">
        <v>560</v>
      </c>
      <c r="G77" s="28" t="str">
        <f t="shared" si="1"/>
        <v/>
      </c>
      <c r="H77" s="29"/>
      <c r="I77" s="30"/>
      <c r="J77" s="155">
        <v>0</v>
      </c>
    </row>
    <row r="78" spans="1:10" ht="15" hidden="1" thickBot="1" x14ac:dyDescent="0.35">
      <c r="A78" s="243"/>
      <c r="B78" s="224"/>
      <c r="C78" s="32"/>
      <c r="D78" s="32"/>
      <c r="E78" s="33"/>
      <c r="F78" s="43" t="s">
        <v>560</v>
      </c>
      <c r="G78" s="31" t="str">
        <f t="shared" si="1"/>
        <v/>
      </c>
      <c r="H78" s="35"/>
      <c r="I78" s="31"/>
      <c r="J78" s="155">
        <v>0</v>
      </c>
    </row>
    <row r="79" spans="1:10" ht="15" hidden="1" thickBot="1" x14ac:dyDescent="0.35">
      <c r="A79" s="243"/>
      <c r="B79" s="224"/>
      <c r="C79" s="36" t="s">
        <v>44</v>
      </c>
      <c r="D79" s="36" t="s">
        <v>12</v>
      </c>
      <c r="E79" s="37">
        <v>0.35</v>
      </c>
      <c r="F79" s="31">
        <v>20.161999999999999</v>
      </c>
      <c r="G79" s="34">
        <f t="shared" si="1"/>
        <v>7.0566999999999993</v>
      </c>
      <c r="H79" s="39">
        <f>SUM(G79:G80)</f>
        <v>12.295674999999999</v>
      </c>
      <c r="I79" s="40"/>
      <c r="J79" s="155">
        <v>0</v>
      </c>
    </row>
    <row r="80" spans="1:10" ht="15" hidden="1" thickBot="1" x14ac:dyDescent="0.35">
      <c r="A80" s="243"/>
      <c r="B80" s="224"/>
      <c r="C80" s="36" t="s">
        <v>23</v>
      </c>
      <c r="D80" s="36" t="s">
        <v>12</v>
      </c>
      <c r="E80" s="37">
        <v>0.35</v>
      </c>
      <c r="F80" s="31">
        <v>14.968499999999999</v>
      </c>
      <c r="G80" s="34">
        <f t="shared" si="1"/>
        <v>5.238974999999999</v>
      </c>
      <c r="H80" s="45"/>
      <c r="I80" s="46"/>
      <c r="J80" s="155">
        <v>0</v>
      </c>
    </row>
    <row r="81" spans="1:10" ht="15" hidden="1" thickBot="1" x14ac:dyDescent="0.35">
      <c r="A81" s="243"/>
      <c r="B81" s="224"/>
      <c r="C81" s="36"/>
      <c r="D81" s="36"/>
      <c r="E81" s="37"/>
      <c r="F81" s="31" t="s">
        <v>560</v>
      </c>
      <c r="G81" s="31" t="str">
        <f t="shared" si="1"/>
        <v/>
      </c>
      <c r="H81" s="35"/>
      <c r="I81" s="31"/>
      <c r="J81" s="155">
        <v>0</v>
      </c>
    </row>
    <row r="82" spans="1:10" ht="15" hidden="1" thickBot="1" x14ac:dyDescent="0.35">
      <c r="A82" s="226" t="s">
        <v>45</v>
      </c>
      <c r="B82" s="223" t="e">
        <f>INDEX(#REF!,MATCH(Composições!A82,#REF!,0),2)</f>
        <v>#REF!</v>
      </c>
      <c r="C82" s="41"/>
      <c r="D82" s="26" t="e">
        <f>TRIM(INDEX(#REF!,MATCH(Composições!A82,#REF!,0),1))</f>
        <v>#REF!</v>
      </c>
      <c r="E82" s="27"/>
      <c r="F82" s="42" t="s">
        <v>560</v>
      </c>
      <c r="G82" s="28" t="str">
        <f t="shared" si="1"/>
        <v/>
      </c>
      <c r="H82" s="29"/>
      <c r="I82" s="30"/>
      <c r="J82" s="155">
        <v>0</v>
      </c>
    </row>
    <row r="83" spans="1:10" ht="15" hidden="1" thickBot="1" x14ac:dyDescent="0.35">
      <c r="A83" s="229"/>
      <c r="B83" s="224"/>
      <c r="C83" s="32"/>
      <c r="D83" s="32"/>
      <c r="E83" s="33"/>
      <c r="F83" s="43" t="s">
        <v>560</v>
      </c>
      <c r="G83" s="31" t="str">
        <f t="shared" si="1"/>
        <v/>
      </c>
      <c r="H83" s="35"/>
      <c r="I83" s="31"/>
      <c r="J83" s="155">
        <v>0</v>
      </c>
    </row>
    <row r="84" spans="1:10" ht="15" hidden="1" thickBot="1" x14ac:dyDescent="0.35">
      <c r="A84" s="229"/>
      <c r="B84" s="224"/>
      <c r="C84" s="36" t="s">
        <v>22</v>
      </c>
      <c r="D84" s="36" t="s">
        <v>12</v>
      </c>
      <c r="E84" s="37">
        <v>0.15</v>
      </c>
      <c r="F84" s="31">
        <v>20.314999999999998</v>
      </c>
      <c r="G84" s="34">
        <f t="shared" si="1"/>
        <v>3.0472499999999996</v>
      </c>
      <c r="H84" s="39">
        <f>SUM(G84:G85)</f>
        <v>18.015749999999997</v>
      </c>
      <c r="I84" s="40"/>
      <c r="J84" s="155">
        <v>0</v>
      </c>
    </row>
    <row r="85" spans="1:10" ht="15" hidden="1" thickBot="1" x14ac:dyDescent="0.35">
      <c r="A85" s="229"/>
      <c r="B85" s="224"/>
      <c r="C85" s="36" t="s">
        <v>23</v>
      </c>
      <c r="D85" s="36" t="s">
        <v>12</v>
      </c>
      <c r="E85" s="37">
        <v>1</v>
      </c>
      <c r="F85" s="31">
        <v>14.968499999999999</v>
      </c>
      <c r="G85" s="34">
        <f t="shared" si="1"/>
        <v>14.968499999999999</v>
      </c>
      <c r="H85" s="35"/>
      <c r="I85" s="31"/>
      <c r="J85" s="155">
        <v>0</v>
      </c>
    </row>
    <row r="86" spans="1:10" ht="15" hidden="1" thickBot="1" x14ac:dyDescent="0.35">
      <c r="A86" s="230"/>
      <c r="B86" s="225"/>
      <c r="C86" s="36"/>
      <c r="D86" s="36"/>
      <c r="E86" s="37"/>
      <c r="F86" s="31" t="s">
        <v>560</v>
      </c>
      <c r="G86" s="31" t="str">
        <f t="shared" si="1"/>
        <v/>
      </c>
      <c r="H86" s="35"/>
      <c r="I86" s="31"/>
      <c r="J86" s="155">
        <v>0</v>
      </c>
    </row>
    <row r="87" spans="1:10" ht="15" hidden="1" thickBot="1" x14ac:dyDescent="0.35">
      <c r="A87" s="226" t="s">
        <v>46</v>
      </c>
      <c r="B87" s="223" t="e">
        <f>INDEX(#REF!,MATCH(Composições!A87,#REF!,0),2)</f>
        <v>#REF!</v>
      </c>
      <c r="C87" s="41"/>
      <c r="D87" s="26" t="e">
        <f>TRIM(INDEX(#REF!,MATCH(Composições!A87,#REF!,0),1))</f>
        <v>#REF!</v>
      </c>
      <c r="E87" s="27"/>
      <c r="F87" s="42" t="s">
        <v>560</v>
      </c>
      <c r="G87" s="28" t="str">
        <f t="shared" si="1"/>
        <v/>
      </c>
      <c r="H87" s="29"/>
      <c r="I87" s="30"/>
      <c r="J87" s="155">
        <v>0</v>
      </c>
    </row>
    <row r="88" spans="1:10" ht="15" hidden="1" thickBot="1" x14ac:dyDescent="0.35">
      <c r="A88" s="229"/>
      <c r="B88" s="224"/>
      <c r="C88" s="32"/>
      <c r="D88" s="32"/>
      <c r="E88" s="33"/>
      <c r="F88" s="43" t="s">
        <v>560</v>
      </c>
      <c r="G88" s="31" t="str">
        <f t="shared" si="1"/>
        <v/>
      </c>
      <c r="H88" s="35"/>
      <c r="I88" s="31"/>
      <c r="J88" s="155">
        <v>0</v>
      </c>
    </row>
    <row r="89" spans="1:10" ht="15" hidden="1" thickBot="1" x14ac:dyDescent="0.35">
      <c r="A89" s="229"/>
      <c r="B89" s="224"/>
      <c r="C89" s="36" t="s">
        <v>22</v>
      </c>
      <c r="D89" s="36" t="s">
        <v>12</v>
      </c>
      <c r="E89" s="37">
        <f>0.08/2</f>
        <v>0.04</v>
      </c>
      <c r="F89" s="31">
        <v>20.314999999999998</v>
      </c>
      <c r="G89" s="34">
        <f t="shared" si="1"/>
        <v>0.81259999999999988</v>
      </c>
      <c r="H89" s="39">
        <f>SUM(G89:G90)</f>
        <v>6.8</v>
      </c>
      <c r="I89" s="40"/>
      <c r="J89" s="155">
        <v>0</v>
      </c>
    </row>
    <row r="90" spans="1:10" ht="15" hidden="1" thickBot="1" x14ac:dyDescent="0.35">
      <c r="A90" s="229"/>
      <c r="B90" s="224"/>
      <c r="C90" s="36" t="s">
        <v>23</v>
      </c>
      <c r="D90" s="36" t="s">
        <v>12</v>
      </c>
      <c r="E90" s="37">
        <f>0.8/2</f>
        <v>0.4</v>
      </c>
      <c r="F90" s="31">
        <v>14.968499999999999</v>
      </c>
      <c r="G90" s="34">
        <f t="shared" si="1"/>
        <v>5.9874000000000001</v>
      </c>
      <c r="H90" s="35"/>
      <c r="I90" s="31"/>
      <c r="J90" s="155">
        <v>0</v>
      </c>
    </row>
    <row r="91" spans="1:10" ht="15" hidden="1" thickBot="1" x14ac:dyDescent="0.35">
      <c r="A91" s="229"/>
      <c r="B91" s="224"/>
      <c r="C91" s="36"/>
      <c r="D91" s="36"/>
      <c r="E91" s="37"/>
      <c r="F91" s="34" t="s">
        <v>560</v>
      </c>
      <c r="G91" s="34" t="str">
        <f t="shared" si="1"/>
        <v/>
      </c>
      <c r="H91" s="35"/>
      <c r="I91" s="31"/>
      <c r="J91" s="155">
        <v>0</v>
      </c>
    </row>
    <row r="92" spans="1:10" ht="15" hidden="1" thickBot="1" x14ac:dyDescent="0.35">
      <c r="A92" s="226" t="s">
        <v>47</v>
      </c>
      <c r="B92" s="223" t="e">
        <f>INDEX(#REF!,MATCH(Composições!A92,#REF!,0),2)</f>
        <v>#REF!</v>
      </c>
      <c r="C92" s="41"/>
      <c r="D92" s="26" t="e">
        <f>TRIM(INDEX(#REF!,MATCH(Composições!A92,#REF!,0),1))</f>
        <v>#REF!</v>
      </c>
      <c r="E92" s="27"/>
      <c r="F92" s="42" t="s">
        <v>560</v>
      </c>
      <c r="G92" s="28" t="str">
        <f t="shared" si="1"/>
        <v/>
      </c>
      <c r="H92" s="29"/>
      <c r="I92" s="30"/>
      <c r="J92" s="155">
        <v>0</v>
      </c>
    </row>
    <row r="93" spans="1:10" ht="15" hidden="1" thickBot="1" x14ac:dyDescent="0.35">
      <c r="A93" s="229"/>
      <c r="B93" s="224"/>
      <c r="C93" s="32"/>
      <c r="D93" s="32"/>
      <c r="E93" s="33"/>
      <c r="F93" s="43" t="s">
        <v>560</v>
      </c>
      <c r="G93" s="31" t="str">
        <f t="shared" si="1"/>
        <v/>
      </c>
      <c r="H93" s="35"/>
      <c r="I93" s="31"/>
      <c r="J93" s="155">
        <v>0</v>
      </c>
    </row>
    <row r="94" spans="1:10" ht="15" hidden="1" thickBot="1" x14ac:dyDescent="0.35">
      <c r="A94" s="229"/>
      <c r="B94" s="224"/>
      <c r="C94" s="36" t="s">
        <v>30</v>
      </c>
      <c r="D94" s="47" t="s">
        <v>12</v>
      </c>
      <c r="E94" s="37">
        <f>0.75*0.1</f>
        <v>7.5000000000000011E-2</v>
      </c>
      <c r="F94" s="31">
        <v>20.484999999999999</v>
      </c>
      <c r="G94" s="34">
        <f t="shared" si="1"/>
        <v>1.5363750000000003</v>
      </c>
      <c r="H94" s="39">
        <f>SUM(G94:G95)</f>
        <v>3.7816500000000008</v>
      </c>
      <c r="I94" s="40"/>
      <c r="J94" s="155">
        <v>0</v>
      </c>
    </row>
    <row r="95" spans="1:10" ht="15" hidden="1" thickBot="1" x14ac:dyDescent="0.35">
      <c r="A95" s="229"/>
      <c r="B95" s="224"/>
      <c r="C95" s="36" t="s">
        <v>23</v>
      </c>
      <c r="D95" s="47" t="s">
        <v>12</v>
      </c>
      <c r="E95" s="37">
        <f>0.75*0.2</f>
        <v>0.15000000000000002</v>
      </c>
      <c r="F95" s="31">
        <v>14.968499999999999</v>
      </c>
      <c r="G95" s="34">
        <f t="shared" si="1"/>
        <v>2.2452750000000004</v>
      </c>
      <c r="H95" s="35"/>
      <c r="I95" s="31"/>
      <c r="J95" s="155">
        <v>0</v>
      </c>
    </row>
    <row r="96" spans="1:10" ht="15" hidden="1" thickBot="1" x14ac:dyDescent="0.35">
      <c r="A96" s="230"/>
      <c r="B96" s="225"/>
      <c r="C96" s="36"/>
      <c r="D96" s="36"/>
      <c r="E96" s="37"/>
      <c r="F96" s="31" t="s">
        <v>560</v>
      </c>
      <c r="G96" s="31" t="str">
        <f t="shared" si="1"/>
        <v/>
      </c>
      <c r="H96" s="35"/>
      <c r="I96" s="31"/>
      <c r="J96" s="155">
        <v>0</v>
      </c>
    </row>
    <row r="97" spans="1:10" ht="15" hidden="1" thickBot="1" x14ac:dyDescent="0.35">
      <c r="A97" s="226" t="s">
        <v>48</v>
      </c>
      <c r="B97" s="223" t="e">
        <f>INDEX(#REF!,MATCH(Composições!A97,#REF!,0),2)</f>
        <v>#REF!</v>
      </c>
      <c r="C97" s="41"/>
      <c r="D97" s="26" t="e">
        <f>TRIM(INDEX(#REF!,MATCH(Composições!A97,#REF!,0),1))</f>
        <v>#REF!</v>
      </c>
      <c r="E97" s="27"/>
      <c r="F97" s="42" t="s">
        <v>560</v>
      </c>
      <c r="G97" s="28" t="str">
        <f t="shared" si="1"/>
        <v/>
      </c>
      <c r="H97" s="29"/>
      <c r="I97" s="30"/>
      <c r="J97" s="155">
        <v>0</v>
      </c>
    </row>
    <row r="98" spans="1:10" ht="15" hidden="1" thickBot="1" x14ac:dyDescent="0.35">
      <c r="A98" s="229"/>
      <c r="B98" s="224"/>
      <c r="C98" s="32"/>
      <c r="D98" s="32"/>
      <c r="E98" s="33"/>
      <c r="F98" s="43" t="s">
        <v>560</v>
      </c>
      <c r="G98" s="31" t="str">
        <f t="shared" si="1"/>
        <v/>
      </c>
      <c r="H98" s="35"/>
      <c r="I98" s="31"/>
      <c r="J98" s="155">
        <v>0</v>
      </c>
    </row>
    <row r="99" spans="1:10" ht="15" hidden="1" thickBot="1" x14ac:dyDescent="0.35">
      <c r="A99" s="229"/>
      <c r="B99" s="224"/>
      <c r="C99" s="36" t="s">
        <v>22</v>
      </c>
      <c r="D99" s="36" t="s">
        <v>12</v>
      </c>
      <c r="E99" s="37">
        <v>0.01</v>
      </c>
      <c r="F99" s="31">
        <v>20.314999999999998</v>
      </c>
      <c r="G99" s="34">
        <f t="shared" si="1"/>
        <v>0.20314999999999997</v>
      </c>
      <c r="H99" s="39">
        <f>SUM(G99:G100)</f>
        <v>1.7</v>
      </c>
      <c r="I99" s="40"/>
      <c r="J99" s="155">
        <v>0</v>
      </c>
    </row>
    <row r="100" spans="1:10" ht="15" hidden="1" thickBot="1" x14ac:dyDescent="0.35">
      <c r="A100" s="229"/>
      <c r="B100" s="224"/>
      <c r="C100" s="36" t="s">
        <v>23</v>
      </c>
      <c r="D100" s="36" t="s">
        <v>12</v>
      </c>
      <c r="E100" s="37">
        <v>0.1</v>
      </c>
      <c r="F100" s="31">
        <v>14.968499999999999</v>
      </c>
      <c r="G100" s="34">
        <f t="shared" si="1"/>
        <v>1.49685</v>
      </c>
      <c r="H100" s="35"/>
      <c r="I100" s="31"/>
      <c r="J100" s="155">
        <v>0</v>
      </c>
    </row>
    <row r="101" spans="1:10" ht="15" hidden="1" thickBot="1" x14ac:dyDescent="0.35">
      <c r="A101" s="230"/>
      <c r="B101" s="225"/>
      <c r="C101" s="36"/>
      <c r="D101" s="36"/>
      <c r="E101" s="37"/>
      <c r="F101" s="31" t="s">
        <v>560</v>
      </c>
      <c r="G101" s="31" t="str">
        <f t="shared" si="1"/>
        <v/>
      </c>
      <c r="H101" s="35"/>
      <c r="I101" s="31"/>
      <c r="J101" s="155">
        <v>0</v>
      </c>
    </row>
    <row r="102" spans="1:10" ht="15" hidden="1" thickBot="1" x14ac:dyDescent="0.35">
      <c r="A102" s="226" t="s">
        <v>49</v>
      </c>
      <c r="B102" s="223" t="e">
        <f>INDEX(#REF!,MATCH(Composições!A102,#REF!,0),2)</f>
        <v>#REF!</v>
      </c>
      <c r="C102" s="41"/>
      <c r="D102" s="26" t="e">
        <f>TRIM(INDEX(#REF!,MATCH(Composições!A102,#REF!,0),1))</f>
        <v>#REF!</v>
      </c>
      <c r="E102" s="27"/>
      <c r="F102" s="42" t="s">
        <v>560</v>
      </c>
      <c r="G102" s="28" t="str">
        <f t="shared" si="1"/>
        <v/>
      </c>
      <c r="H102" s="29"/>
      <c r="I102" s="30"/>
      <c r="J102" s="155">
        <v>0</v>
      </c>
    </row>
    <row r="103" spans="1:10" ht="15" hidden="1" thickBot="1" x14ac:dyDescent="0.35">
      <c r="A103" s="229"/>
      <c r="B103" s="224"/>
      <c r="C103" s="32"/>
      <c r="D103" s="32"/>
      <c r="E103" s="33"/>
      <c r="F103" s="43" t="s">
        <v>560</v>
      </c>
      <c r="G103" s="31" t="str">
        <f t="shared" si="1"/>
        <v/>
      </c>
      <c r="H103" s="35"/>
      <c r="I103" s="31"/>
      <c r="J103" s="155">
        <v>0</v>
      </c>
    </row>
    <row r="104" spans="1:10" ht="15" hidden="1" thickBot="1" x14ac:dyDescent="0.35">
      <c r="A104" s="229"/>
      <c r="B104" s="224"/>
      <c r="C104" s="36" t="s">
        <v>50</v>
      </c>
      <c r="D104" s="36" t="s">
        <v>12</v>
      </c>
      <c r="E104" s="37">
        <f>ROUND(1/6,4)</f>
        <v>0.16669999999999999</v>
      </c>
      <c r="F104" s="31">
        <v>17.815999999999999</v>
      </c>
      <c r="G104" s="34">
        <f t="shared" si="1"/>
        <v>2.9699271999999994</v>
      </c>
      <c r="H104" s="39">
        <f>SUM(G104:G104)</f>
        <v>2.9699271999999994</v>
      </c>
      <c r="I104" s="40"/>
      <c r="J104" s="155">
        <v>0</v>
      </c>
    </row>
    <row r="105" spans="1:10" ht="15" hidden="1" thickBot="1" x14ac:dyDescent="0.35">
      <c r="A105" s="230"/>
      <c r="B105" s="225"/>
      <c r="C105" s="36"/>
      <c r="D105" s="36"/>
      <c r="E105" s="37"/>
      <c r="F105" s="31" t="s">
        <v>560</v>
      </c>
      <c r="G105" s="31" t="str">
        <f t="shared" si="1"/>
        <v/>
      </c>
      <c r="H105" s="35"/>
      <c r="I105" s="31"/>
      <c r="J105" s="155">
        <v>0</v>
      </c>
    </row>
    <row r="106" spans="1:10" ht="15" hidden="1" thickBot="1" x14ac:dyDescent="0.35">
      <c r="A106" s="226" t="s">
        <v>51</v>
      </c>
      <c r="B106" s="223" t="e">
        <f>INDEX(#REF!,MATCH(Composições!A106,#REF!,0),2)</f>
        <v>#REF!</v>
      </c>
      <c r="C106" s="41"/>
      <c r="D106" s="26" t="e">
        <f>TRIM(INDEX(#REF!,MATCH(Composições!A106,#REF!,0),1))</f>
        <v>#REF!</v>
      </c>
      <c r="E106" s="27"/>
      <c r="F106" s="42" t="s">
        <v>560</v>
      </c>
      <c r="G106" s="28" t="str">
        <f t="shared" si="1"/>
        <v/>
      </c>
      <c r="H106" s="29"/>
      <c r="I106" s="30"/>
      <c r="J106" s="155">
        <v>0</v>
      </c>
    </row>
    <row r="107" spans="1:10" ht="15" hidden="1" thickBot="1" x14ac:dyDescent="0.35">
      <c r="A107" s="229"/>
      <c r="B107" s="224"/>
      <c r="C107" s="32"/>
      <c r="D107" s="32"/>
      <c r="E107" s="33"/>
      <c r="F107" s="43" t="s">
        <v>560</v>
      </c>
      <c r="G107" s="31" t="str">
        <f t="shared" si="1"/>
        <v/>
      </c>
      <c r="H107" s="35"/>
      <c r="I107" s="31"/>
      <c r="J107" s="155">
        <v>0</v>
      </c>
    </row>
    <row r="108" spans="1:10" ht="15" hidden="1" thickBot="1" x14ac:dyDescent="0.35">
      <c r="A108" s="229"/>
      <c r="B108" s="224"/>
      <c r="C108" s="36" t="s">
        <v>52</v>
      </c>
      <c r="D108" s="47" t="s">
        <v>12</v>
      </c>
      <c r="E108" s="37">
        <v>0.6</v>
      </c>
      <c r="F108" s="31">
        <v>16.013999999999999</v>
      </c>
      <c r="G108" s="31">
        <f t="shared" si="1"/>
        <v>9.6083999999999996</v>
      </c>
      <c r="H108" s="39">
        <f>SUM(G108:G109)</f>
        <v>18.589500000000001</v>
      </c>
      <c r="I108" s="40"/>
      <c r="J108" s="155">
        <v>0</v>
      </c>
    </row>
    <row r="109" spans="1:10" ht="15" hidden="1" thickBot="1" x14ac:dyDescent="0.35">
      <c r="A109" s="229"/>
      <c r="B109" s="224"/>
      <c r="C109" s="36" t="s">
        <v>23</v>
      </c>
      <c r="D109" s="47" t="s">
        <v>12</v>
      </c>
      <c r="E109" s="37">
        <v>0.6</v>
      </c>
      <c r="F109" s="31">
        <v>14.968499999999999</v>
      </c>
      <c r="G109" s="31">
        <f t="shared" si="1"/>
        <v>8.9810999999999996</v>
      </c>
      <c r="H109" s="35"/>
      <c r="I109" s="31"/>
      <c r="J109" s="155">
        <v>0</v>
      </c>
    </row>
    <row r="110" spans="1:10" ht="15" hidden="1" thickBot="1" x14ac:dyDescent="0.35">
      <c r="A110" s="230"/>
      <c r="B110" s="225"/>
      <c r="C110" s="36"/>
      <c r="D110" s="36"/>
      <c r="E110" s="37"/>
      <c r="F110" s="31" t="s">
        <v>560</v>
      </c>
      <c r="G110" s="31" t="str">
        <f t="shared" si="1"/>
        <v/>
      </c>
      <c r="H110" s="35"/>
      <c r="I110" s="31"/>
      <c r="J110" s="155">
        <v>0</v>
      </c>
    </row>
    <row r="111" spans="1:10" ht="15" hidden="1" thickBot="1" x14ac:dyDescent="0.35">
      <c r="A111" s="226" t="s">
        <v>53</v>
      </c>
      <c r="B111" s="223" t="e">
        <f>INDEX(#REF!,MATCH(Composições!A111,#REF!,0),2)</f>
        <v>#REF!</v>
      </c>
      <c r="C111" s="41"/>
      <c r="D111" s="26" t="e">
        <f>TRIM(INDEX(#REF!,MATCH(Composições!A111,#REF!,0),1))</f>
        <v>#REF!</v>
      </c>
      <c r="E111" s="27"/>
      <c r="F111" s="42" t="s">
        <v>560</v>
      </c>
      <c r="G111" s="28" t="str">
        <f t="shared" si="1"/>
        <v/>
      </c>
      <c r="H111" s="29"/>
      <c r="I111" s="30"/>
      <c r="J111" s="155">
        <v>0</v>
      </c>
    </row>
    <row r="112" spans="1:10" ht="15" hidden="1" thickBot="1" x14ac:dyDescent="0.35">
      <c r="A112" s="229"/>
      <c r="B112" s="224"/>
      <c r="C112" s="32"/>
      <c r="D112" s="32"/>
      <c r="E112" s="33"/>
      <c r="F112" s="43" t="s">
        <v>560</v>
      </c>
      <c r="G112" s="31" t="str">
        <f t="shared" si="1"/>
        <v/>
      </c>
      <c r="H112" s="35"/>
      <c r="I112" s="31"/>
      <c r="J112" s="155">
        <v>0</v>
      </c>
    </row>
    <row r="113" spans="1:10" ht="15" hidden="1" thickBot="1" x14ac:dyDescent="0.35">
      <c r="A113" s="229"/>
      <c r="B113" s="224"/>
      <c r="C113" s="36" t="s">
        <v>54</v>
      </c>
      <c r="D113" s="36" t="s">
        <v>12</v>
      </c>
      <c r="E113" s="37">
        <v>0.6</v>
      </c>
      <c r="F113" s="31">
        <v>16.923500000000001</v>
      </c>
      <c r="G113" s="34">
        <f t="shared" si="1"/>
        <v>10.1541</v>
      </c>
      <c r="H113" s="39">
        <f>SUM(G113:G114)</f>
        <v>28.116299999999999</v>
      </c>
      <c r="I113" s="40"/>
      <c r="J113" s="155">
        <v>0</v>
      </c>
    </row>
    <row r="114" spans="1:10" ht="15" hidden="1" thickBot="1" x14ac:dyDescent="0.35">
      <c r="A114" s="229"/>
      <c r="B114" s="224"/>
      <c r="C114" s="36" t="s">
        <v>23</v>
      </c>
      <c r="D114" s="36" t="s">
        <v>12</v>
      </c>
      <c r="E114" s="37">
        <v>1.2</v>
      </c>
      <c r="F114" s="31">
        <v>14.968499999999999</v>
      </c>
      <c r="G114" s="34">
        <f t="shared" si="1"/>
        <v>17.962199999999999</v>
      </c>
      <c r="H114" s="35"/>
      <c r="I114" s="31"/>
      <c r="J114" s="155">
        <v>0</v>
      </c>
    </row>
    <row r="115" spans="1:10" ht="15" hidden="1" thickBot="1" x14ac:dyDescent="0.35">
      <c r="A115" s="230"/>
      <c r="B115" s="225"/>
      <c r="C115" s="36"/>
      <c r="D115" s="36"/>
      <c r="E115" s="37"/>
      <c r="F115" s="31" t="s">
        <v>560</v>
      </c>
      <c r="G115" s="31" t="str">
        <f t="shared" si="1"/>
        <v/>
      </c>
      <c r="H115" s="35"/>
      <c r="I115" s="31"/>
      <c r="J115" s="155">
        <v>0</v>
      </c>
    </row>
    <row r="116" spans="1:10" ht="15" hidden="1" thickBot="1" x14ac:dyDescent="0.35">
      <c r="A116" s="226" t="s">
        <v>55</v>
      </c>
      <c r="B116" s="223" t="e">
        <f>INDEX(#REF!,MATCH(Composições!A116,#REF!,0),2)</f>
        <v>#REF!</v>
      </c>
      <c r="C116" s="41"/>
      <c r="D116" s="26" t="e">
        <f>TRIM(INDEX(#REF!,MATCH(Composições!A116,#REF!,0),1))</f>
        <v>#REF!</v>
      </c>
      <c r="E116" s="27"/>
      <c r="F116" s="42" t="s">
        <v>560</v>
      </c>
      <c r="G116" s="28" t="str">
        <f t="shared" si="1"/>
        <v/>
      </c>
      <c r="H116" s="29"/>
      <c r="I116" s="30"/>
      <c r="J116" s="155">
        <v>0</v>
      </c>
    </row>
    <row r="117" spans="1:10" ht="15" hidden="1" thickBot="1" x14ac:dyDescent="0.35">
      <c r="A117" s="229"/>
      <c r="B117" s="224"/>
      <c r="C117" s="32"/>
      <c r="D117" s="32"/>
      <c r="E117" s="33"/>
      <c r="F117" s="43" t="s">
        <v>560</v>
      </c>
      <c r="G117" s="31" t="str">
        <f t="shared" si="1"/>
        <v/>
      </c>
      <c r="H117" s="35"/>
      <c r="I117" s="31"/>
      <c r="J117" s="155">
        <v>0</v>
      </c>
    </row>
    <row r="118" spans="1:10" ht="15" hidden="1" thickBot="1" x14ac:dyDescent="0.35">
      <c r="A118" s="229"/>
      <c r="B118" s="224"/>
      <c r="C118" s="36" t="s">
        <v>27</v>
      </c>
      <c r="D118" s="47" t="s">
        <v>12</v>
      </c>
      <c r="E118" s="37">
        <v>0.1186</v>
      </c>
      <c r="F118" s="31">
        <v>15.4785</v>
      </c>
      <c r="G118" s="31">
        <f t="shared" si="1"/>
        <v>1.8357501000000001</v>
      </c>
      <c r="H118" s="39">
        <f>SUM(G118:G119)</f>
        <v>5.3219137499999993</v>
      </c>
      <c r="I118" s="40"/>
      <c r="J118" s="155">
        <v>0</v>
      </c>
    </row>
    <row r="119" spans="1:10" ht="15" hidden="1" thickBot="1" x14ac:dyDescent="0.35">
      <c r="A119" s="229"/>
      <c r="B119" s="224"/>
      <c r="C119" s="36" t="s">
        <v>23</v>
      </c>
      <c r="D119" s="47" t="s">
        <v>12</v>
      </c>
      <c r="E119" s="37">
        <v>0.2329</v>
      </c>
      <c r="F119" s="31">
        <v>14.968499999999999</v>
      </c>
      <c r="G119" s="31">
        <f t="shared" si="1"/>
        <v>3.4861636499999995</v>
      </c>
      <c r="H119" s="35"/>
      <c r="I119" s="31"/>
      <c r="J119" s="155">
        <v>0</v>
      </c>
    </row>
    <row r="120" spans="1:10" ht="15" hidden="1" thickBot="1" x14ac:dyDescent="0.35">
      <c r="A120" s="230"/>
      <c r="B120" s="225"/>
      <c r="C120" s="36"/>
      <c r="D120" s="36"/>
      <c r="E120" s="37"/>
      <c r="F120" s="31" t="s">
        <v>560</v>
      </c>
      <c r="G120" s="31" t="str">
        <f t="shared" si="1"/>
        <v/>
      </c>
      <c r="H120" s="35"/>
      <c r="I120" s="31"/>
      <c r="J120" s="155">
        <v>0</v>
      </c>
    </row>
    <row r="121" spans="1:10" ht="15" hidden="1" thickBot="1" x14ac:dyDescent="0.35">
      <c r="A121" s="226" t="s">
        <v>56</v>
      </c>
      <c r="B121" s="223" t="e">
        <f>INDEX(#REF!,MATCH(Composições!A121,#REF!,0),2)</f>
        <v>#REF!</v>
      </c>
      <c r="C121" s="41"/>
      <c r="D121" s="26" t="e">
        <f>TRIM(INDEX(#REF!,MATCH(Composições!A121,#REF!,0),1))</f>
        <v>#REF!</v>
      </c>
      <c r="E121" s="27"/>
      <c r="F121" s="42" t="s">
        <v>560</v>
      </c>
      <c r="G121" s="28" t="str">
        <f t="shared" si="1"/>
        <v/>
      </c>
      <c r="H121" s="29"/>
      <c r="I121" s="30"/>
      <c r="J121" s="155">
        <v>0</v>
      </c>
    </row>
    <row r="122" spans="1:10" ht="15" hidden="1" thickBot="1" x14ac:dyDescent="0.35">
      <c r="A122" s="229"/>
      <c r="B122" s="224"/>
      <c r="C122" s="32"/>
      <c r="D122" s="32"/>
      <c r="E122" s="33"/>
      <c r="F122" s="43" t="s">
        <v>560</v>
      </c>
      <c r="G122" s="31" t="str">
        <f t="shared" si="1"/>
        <v/>
      </c>
      <c r="H122" s="35"/>
      <c r="I122" s="31"/>
      <c r="J122" s="155">
        <v>0</v>
      </c>
    </row>
    <row r="123" spans="1:10" ht="15" hidden="1" thickBot="1" x14ac:dyDescent="0.35">
      <c r="A123" s="229"/>
      <c r="B123" s="224"/>
      <c r="C123" s="36" t="s">
        <v>39</v>
      </c>
      <c r="D123" s="47" t="s">
        <v>12</v>
      </c>
      <c r="E123" s="37">
        <v>0.17499999999999999</v>
      </c>
      <c r="F123" s="31">
        <v>19.898499999999999</v>
      </c>
      <c r="G123" s="34">
        <f t="shared" si="1"/>
        <v>3.4822374999999997</v>
      </c>
      <c r="H123" s="39">
        <f>SUM(G123:G124)</f>
        <v>7.972787499999999</v>
      </c>
      <c r="I123" s="40"/>
      <c r="J123" s="155">
        <v>0</v>
      </c>
    </row>
    <row r="124" spans="1:10" ht="15" hidden="1" thickBot="1" x14ac:dyDescent="0.35">
      <c r="A124" s="229"/>
      <c r="B124" s="224"/>
      <c r="C124" s="36" t="s">
        <v>23</v>
      </c>
      <c r="D124" s="47" t="s">
        <v>12</v>
      </c>
      <c r="E124" s="37">
        <v>0.3</v>
      </c>
      <c r="F124" s="31">
        <v>14.968499999999999</v>
      </c>
      <c r="G124" s="34">
        <f t="shared" si="1"/>
        <v>4.4905499999999998</v>
      </c>
      <c r="H124" s="35"/>
      <c r="I124" s="31"/>
      <c r="J124" s="155">
        <v>0</v>
      </c>
    </row>
    <row r="125" spans="1:10" ht="15" hidden="1" thickBot="1" x14ac:dyDescent="0.35">
      <c r="A125" s="230"/>
      <c r="B125" s="225"/>
      <c r="C125" s="36"/>
      <c r="D125" s="36"/>
      <c r="E125" s="37"/>
      <c r="F125" s="31" t="s">
        <v>560</v>
      </c>
      <c r="G125" s="31" t="str">
        <f t="shared" si="1"/>
        <v/>
      </c>
      <c r="H125" s="35"/>
      <c r="I125" s="31"/>
      <c r="J125" s="155">
        <v>0</v>
      </c>
    </row>
    <row r="126" spans="1:10" ht="15" hidden="1" thickBot="1" x14ac:dyDescent="0.35">
      <c r="A126" s="226" t="s">
        <v>57</v>
      </c>
      <c r="B126" s="223" t="e">
        <f>INDEX(#REF!,MATCH(Composições!A126,#REF!,0),2)</f>
        <v>#REF!</v>
      </c>
      <c r="C126" s="41"/>
      <c r="D126" s="26" t="e">
        <f>TRIM(INDEX(#REF!,MATCH(Composições!A126,#REF!,0),1))</f>
        <v>#REF!</v>
      </c>
      <c r="E126" s="27"/>
      <c r="F126" s="42" t="s">
        <v>560</v>
      </c>
      <c r="G126" s="28" t="str">
        <f t="shared" si="1"/>
        <v/>
      </c>
      <c r="H126" s="29"/>
      <c r="I126" s="30"/>
      <c r="J126" s="155">
        <v>0</v>
      </c>
    </row>
    <row r="127" spans="1:10" ht="15" hidden="1" thickBot="1" x14ac:dyDescent="0.35">
      <c r="A127" s="229"/>
      <c r="B127" s="224"/>
      <c r="C127" s="32"/>
      <c r="D127" s="32"/>
      <c r="E127" s="33"/>
      <c r="F127" s="43" t="s">
        <v>560</v>
      </c>
      <c r="G127" s="31" t="str">
        <f t="shared" si="1"/>
        <v/>
      </c>
      <c r="H127" s="35"/>
      <c r="I127" s="31"/>
      <c r="J127" s="155">
        <v>0</v>
      </c>
    </row>
    <row r="128" spans="1:10" ht="15" hidden="1" thickBot="1" x14ac:dyDescent="0.35">
      <c r="A128" s="229"/>
      <c r="B128" s="224"/>
      <c r="C128" s="36" t="s">
        <v>22</v>
      </c>
      <c r="D128" s="36" t="s">
        <v>12</v>
      </c>
      <c r="E128" s="37">
        <v>0.05</v>
      </c>
      <c r="F128" s="31">
        <v>20.314999999999998</v>
      </c>
      <c r="G128" s="34">
        <f t="shared" si="1"/>
        <v>1.0157499999999999</v>
      </c>
      <c r="H128" s="39">
        <f>SUM(G128:G129)</f>
        <v>8.5</v>
      </c>
      <c r="I128" s="40"/>
      <c r="J128" s="155">
        <v>0</v>
      </c>
    </row>
    <row r="129" spans="1:10" ht="15" hidden="1" thickBot="1" x14ac:dyDescent="0.35">
      <c r="A129" s="229"/>
      <c r="B129" s="224"/>
      <c r="C129" s="36" t="s">
        <v>23</v>
      </c>
      <c r="D129" s="36" t="s">
        <v>12</v>
      </c>
      <c r="E129" s="37">
        <v>0.5</v>
      </c>
      <c r="F129" s="31">
        <v>14.968499999999999</v>
      </c>
      <c r="G129" s="34">
        <f t="shared" si="1"/>
        <v>7.4842499999999994</v>
      </c>
      <c r="H129" s="45"/>
      <c r="I129" s="46"/>
      <c r="J129" s="155">
        <v>0</v>
      </c>
    </row>
    <row r="130" spans="1:10" ht="15" hidden="1" thickBot="1" x14ac:dyDescent="0.35">
      <c r="A130" s="230"/>
      <c r="B130" s="225"/>
      <c r="C130" s="36"/>
      <c r="D130" s="36"/>
      <c r="E130" s="37"/>
      <c r="F130" s="31" t="s">
        <v>560</v>
      </c>
      <c r="G130" s="31" t="str">
        <f t="shared" si="1"/>
        <v/>
      </c>
      <c r="H130" s="35"/>
      <c r="I130" s="31"/>
      <c r="J130" s="155">
        <v>0</v>
      </c>
    </row>
    <row r="131" spans="1:10" ht="15" hidden="1" thickBot="1" x14ac:dyDescent="0.35">
      <c r="A131" s="226" t="s">
        <v>58</v>
      </c>
      <c r="B131" s="223" t="e">
        <f>INDEX(#REF!,MATCH(Composições!A131,#REF!,0),2)</f>
        <v>#REF!</v>
      </c>
      <c r="C131" s="41"/>
      <c r="D131" s="26" t="e">
        <f>TRIM(INDEX(#REF!,MATCH(Composições!A131,#REF!,0),1))</f>
        <v>#REF!</v>
      </c>
      <c r="E131" s="27"/>
      <c r="F131" s="42" t="s">
        <v>560</v>
      </c>
      <c r="G131" s="28" t="str">
        <f t="shared" si="1"/>
        <v/>
      </c>
      <c r="H131" s="29"/>
      <c r="I131" s="30"/>
      <c r="J131" s="155">
        <v>0</v>
      </c>
    </row>
    <row r="132" spans="1:10" ht="15" hidden="1" thickBot="1" x14ac:dyDescent="0.35">
      <c r="A132" s="229"/>
      <c r="B132" s="224"/>
      <c r="C132" s="32"/>
      <c r="D132" s="32"/>
      <c r="E132" s="33"/>
      <c r="F132" s="43" t="s">
        <v>560</v>
      </c>
      <c r="G132" s="31" t="str">
        <f t="shared" si="1"/>
        <v/>
      </c>
      <c r="H132" s="35"/>
      <c r="I132" s="31"/>
      <c r="J132" s="155">
        <v>0</v>
      </c>
    </row>
    <row r="133" spans="1:10" ht="15" hidden="1" thickBot="1" x14ac:dyDescent="0.35">
      <c r="A133" s="229"/>
      <c r="B133" s="224"/>
      <c r="C133" s="36" t="s">
        <v>30</v>
      </c>
      <c r="D133" s="36" t="s">
        <v>12</v>
      </c>
      <c r="E133" s="37">
        <v>0.3</v>
      </c>
      <c r="F133" s="31">
        <v>20.484999999999999</v>
      </c>
      <c r="G133" s="31">
        <f t="shared" si="1"/>
        <v>6.1454999999999993</v>
      </c>
      <c r="H133" s="39">
        <f>SUM(G133:G133)</f>
        <v>6.1454999999999993</v>
      </c>
      <c r="I133" s="40"/>
      <c r="J133" s="155">
        <v>0</v>
      </c>
    </row>
    <row r="134" spans="1:10" ht="15" hidden="1" thickBot="1" x14ac:dyDescent="0.35">
      <c r="A134" s="230"/>
      <c r="B134" s="225"/>
      <c r="C134" s="36"/>
      <c r="D134" s="36"/>
      <c r="E134" s="37"/>
      <c r="F134" s="31" t="s">
        <v>560</v>
      </c>
      <c r="G134" s="31" t="str">
        <f t="shared" ref="G134:G197" si="2">IF(ISNUMBER(F134),E134*F134,"")</f>
        <v/>
      </c>
      <c r="H134" s="35"/>
      <c r="I134" s="31"/>
      <c r="J134" s="155">
        <v>0</v>
      </c>
    </row>
    <row r="135" spans="1:10" ht="15" hidden="1" thickBot="1" x14ac:dyDescent="0.35">
      <c r="A135" s="226" t="s">
        <v>59</v>
      </c>
      <c r="B135" s="223" t="e">
        <f>INDEX(#REF!,MATCH(Composições!A135,#REF!,0),2)</f>
        <v>#REF!</v>
      </c>
      <c r="C135" s="41"/>
      <c r="D135" s="26" t="e">
        <f>TRIM(INDEX(#REF!,MATCH(Composições!A135,#REF!,0),1))</f>
        <v>#REF!</v>
      </c>
      <c r="E135" s="27"/>
      <c r="F135" s="42" t="s">
        <v>560</v>
      </c>
      <c r="G135" s="28" t="str">
        <f t="shared" si="2"/>
        <v/>
      </c>
      <c r="H135" s="29"/>
      <c r="I135" s="30"/>
      <c r="J135" s="155">
        <v>0</v>
      </c>
    </row>
    <row r="136" spans="1:10" ht="15" hidden="1" thickBot="1" x14ac:dyDescent="0.35">
      <c r="A136" s="229"/>
      <c r="B136" s="224"/>
      <c r="C136" s="32"/>
      <c r="D136" s="32"/>
      <c r="E136" s="33"/>
      <c r="F136" s="43" t="s">
        <v>560</v>
      </c>
      <c r="G136" s="31" t="str">
        <f t="shared" si="2"/>
        <v/>
      </c>
      <c r="H136" s="35"/>
      <c r="I136" s="31"/>
      <c r="J136" s="155">
        <v>0</v>
      </c>
    </row>
    <row r="137" spans="1:10" ht="15" hidden="1" thickBot="1" x14ac:dyDescent="0.35">
      <c r="A137" s="229"/>
      <c r="B137" s="224"/>
      <c r="C137" s="36" t="s">
        <v>44</v>
      </c>
      <c r="D137" s="36" t="s">
        <v>12</v>
      </c>
      <c r="E137" s="37">
        <f>0.25</f>
        <v>0.25</v>
      </c>
      <c r="F137" s="31">
        <v>20.161999999999999</v>
      </c>
      <c r="G137" s="34">
        <f t="shared" si="2"/>
        <v>5.0404999999999998</v>
      </c>
      <c r="H137" s="39">
        <f>SUM(G137:G137)</f>
        <v>5.0404999999999998</v>
      </c>
      <c r="I137" s="40"/>
      <c r="J137" s="155">
        <v>0</v>
      </c>
    </row>
    <row r="138" spans="1:10" ht="15" hidden="1" thickBot="1" x14ac:dyDescent="0.35">
      <c r="A138" s="229"/>
      <c r="B138" s="224"/>
      <c r="C138" s="36"/>
      <c r="D138" s="36"/>
      <c r="E138" s="37"/>
      <c r="F138" s="31" t="s">
        <v>560</v>
      </c>
      <c r="G138" s="31" t="str">
        <f t="shared" si="2"/>
        <v/>
      </c>
      <c r="H138" s="35"/>
      <c r="I138" s="31"/>
      <c r="J138" s="155">
        <v>0</v>
      </c>
    </row>
    <row r="139" spans="1:10" ht="15" hidden="1" thickBot="1" x14ac:dyDescent="0.35">
      <c r="A139" s="226" t="s">
        <v>60</v>
      </c>
      <c r="B139" s="223" t="e">
        <f>INDEX(#REF!,MATCH(Composições!A139,#REF!,0),2)</f>
        <v>#REF!</v>
      </c>
      <c r="C139" s="41"/>
      <c r="D139" s="26" t="e">
        <f>TRIM(INDEX(#REF!,MATCH(Composições!A139,#REF!,0),1))</f>
        <v>#REF!</v>
      </c>
      <c r="E139" s="27"/>
      <c r="F139" s="42" t="s">
        <v>560</v>
      </c>
      <c r="G139" s="28" t="str">
        <f t="shared" si="2"/>
        <v/>
      </c>
      <c r="H139" s="29"/>
      <c r="I139" s="30"/>
      <c r="J139" s="155">
        <v>0</v>
      </c>
    </row>
    <row r="140" spans="1:10" ht="15" hidden="1" thickBot="1" x14ac:dyDescent="0.35">
      <c r="A140" s="229"/>
      <c r="B140" s="224"/>
      <c r="C140" s="32"/>
      <c r="D140" s="32"/>
      <c r="E140" s="33"/>
      <c r="F140" s="43" t="s">
        <v>560</v>
      </c>
      <c r="G140" s="31" t="str">
        <f t="shared" si="2"/>
        <v/>
      </c>
      <c r="H140" s="35"/>
      <c r="I140" s="31"/>
      <c r="J140" s="155">
        <v>0</v>
      </c>
    </row>
    <row r="141" spans="1:10" ht="15" hidden="1" thickBot="1" x14ac:dyDescent="0.35">
      <c r="A141" s="229"/>
      <c r="B141" s="224"/>
      <c r="C141" s="36" t="s">
        <v>22</v>
      </c>
      <c r="D141" s="36" t="s">
        <v>12</v>
      </c>
      <c r="E141" s="37">
        <v>0.13150000000000001</v>
      </c>
      <c r="F141" s="31">
        <v>20.314999999999998</v>
      </c>
      <c r="G141" s="34">
        <f t="shared" si="2"/>
        <v>2.6714224999999998</v>
      </c>
      <c r="H141" s="39">
        <f>SUM(G141:G142)</f>
        <v>6.5362891999999988</v>
      </c>
      <c r="I141" s="40"/>
      <c r="J141" s="155">
        <v>0</v>
      </c>
    </row>
    <row r="142" spans="1:10" ht="15" hidden="1" thickBot="1" x14ac:dyDescent="0.35">
      <c r="A142" s="229"/>
      <c r="B142" s="224"/>
      <c r="C142" s="36" t="s">
        <v>23</v>
      </c>
      <c r="D142" s="47" t="s">
        <v>12</v>
      </c>
      <c r="E142" s="37">
        <v>0.25819999999999999</v>
      </c>
      <c r="F142" s="31">
        <v>14.968499999999999</v>
      </c>
      <c r="G142" s="34">
        <f t="shared" si="2"/>
        <v>3.8648666999999994</v>
      </c>
      <c r="H142" s="45"/>
      <c r="I142" s="46"/>
      <c r="J142" s="155">
        <v>0</v>
      </c>
    </row>
    <row r="143" spans="1:10" ht="15" hidden="1" thickBot="1" x14ac:dyDescent="0.35">
      <c r="A143" s="230"/>
      <c r="B143" s="225"/>
      <c r="C143" s="36"/>
      <c r="D143" s="36"/>
      <c r="E143" s="37"/>
      <c r="F143" s="31" t="s">
        <v>560</v>
      </c>
      <c r="G143" s="31" t="str">
        <f t="shared" si="2"/>
        <v/>
      </c>
      <c r="H143" s="35"/>
      <c r="I143" s="31"/>
      <c r="J143" s="155">
        <v>0</v>
      </c>
    </row>
    <row r="144" spans="1:10" ht="15" hidden="1" thickBot="1" x14ac:dyDescent="0.35">
      <c r="A144" s="226" t="s">
        <v>61</v>
      </c>
      <c r="B144" s="223" t="e">
        <f>INDEX(#REF!,MATCH(Composições!A144,#REF!,0),2)</f>
        <v>#REF!</v>
      </c>
      <c r="C144" s="41"/>
      <c r="D144" s="26" t="e">
        <f>TRIM(INDEX(#REF!,MATCH(Composições!A144,#REF!,0),1))</f>
        <v>#REF!</v>
      </c>
      <c r="E144" s="27"/>
      <c r="F144" s="42" t="s">
        <v>560</v>
      </c>
      <c r="G144" s="28" t="str">
        <f t="shared" si="2"/>
        <v/>
      </c>
      <c r="H144" s="29"/>
      <c r="I144" s="30"/>
      <c r="J144" s="155">
        <v>0</v>
      </c>
    </row>
    <row r="145" spans="1:10" ht="15" hidden="1" thickBot="1" x14ac:dyDescent="0.35">
      <c r="A145" s="229"/>
      <c r="B145" s="224"/>
      <c r="C145" s="32"/>
      <c r="D145" s="32"/>
      <c r="E145" s="33"/>
      <c r="F145" s="43" t="s">
        <v>560</v>
      </c>
      <c r="G145" s="31" t="str">
        <f t="shared" si="2"/>
        <v/>
      </c>
      <c r="H145" s="35"/>
      <c r="I145" s="31"/>
      <c r="J145" s="155">
        <v>0</v>
      </c>
    </row>
    <row r="146" spans="1:10" ht="15" hidden="1" thickBot="1" x14ac:dyDescent="0.35">
      <c r="A146" s="229"/>
      <c r="B146" s="224"/>
      <c r="C146" s="36" t="s">
        <v>22</v>
      </c>
      <c r="D146" s="36" t="s">
        <v>12</v>
      </c>
      <c r="E146" s="37">
        <v>0.09</v>
      </c>
      <c r="F146" s="31">
        <v>20.314999999999998</v>
      </c>
      <c r="G146" s="34">
        <f t="shared" si="2"/>
        <v>1.8283499999999997</v>
      </c>
      <c r="H146" s="39">
        <f>SUM(G146:G147)</f>
        <v>15.299999999999999</v>
      </c>
      <c r="I146" s="40"/>
      <c r="J146" s="155">
        <v>0</v>
      </c>
    </row>
    <row r="147" spans="1:10" ht="15" hidden="1" thickBot="1" x14ac:dyDescent="0.35">
      <c r="A147" s="229"/>
      <c r="B147" s="224"/>
      <c r="C147" s="36" t="s">
        <v>23</v>
      </c>
      <c r="D147" s="36" t="s">
        <v>12</v>
      </c>
      <c r="E147" s="37">
        <v>0.9</v>
      </c>
      <c r="F147" s="31">
        <v>14.968499999999999</v>
      </c>
      <c r="G147" s="34">
        <f t="shared" si="2"/>
        <v>13.471649999999999</v>
      </c>
      <c r="H147" s="35"/>
      <c r="I147" s="31"/>
      <c r="J147" s="155">
        <v>0</v>
      </c>
    </row>
    <row r="148" spans="1:10" ht="15" hidden="1" thickBot="1" x14ac:dyDescent="0.35">
      <c r="A148" s="230"/>
      <c r="B148" s="225"/>
      <c r="C148" s="36"/>
      <c r="D148" s="36"/>
      <c r="E148" s="37"/>
      <c r="F148" s="31" t="s">
        <v>560</v>
      </c>
      <c r="G148" s="31" t="str">
        <f t="shared" si="2"/>
        <v/>
      </c>
      <c r="H148" s="35"/>
      <c r="I148" s="31"/>
      <c r="J148" s="155">
        <v>0</v>
      </c>
    </row>
    <row r="149" spans="1:10" ht="15" hidden="1" thickBot="1" x14ac:dyDescent="0.35">
      <c r="A149" s="226" t="s">
        <v>62</v>
      </c>
      <c r="B149" s="223" t="e">
        <f>INDEX(#REF!,MATCH(Composições!A149,#REF!,0),2)</f>
        <v>#REF!</v>
      </c>
      <c r="C149" s="41"/>
      <c r="D149" s="26" t="e">
        <f>TRIM(INDEX(#REF!,MATCH(Composições!A149,#REF!,0),1))</f>
        <v>#REF!</v>
      </c>
      <c r="E149" s="27"/>
      <c r="F149" s="42" t="s">
        <v>560</v>
      </c>
      <c r="G149" s="28" t="str">
        <f t="shared" si="2"/>
        <v/>
      </c>
      <c r="H149" s="29"/>
      <c r="I149" s="30"/>
      <c r="J149" s="155">
        <v>0</v>
      </c>
    </row>
    <row r="150" spans="1:10" ht="15" hidden="1" thickBot="1" x14ac:dyDescent="0.35">
      <c r="A150" s="229"/>
      <c r="B150" s="224"/>
      <c r="C150" s="32"/>
      <c r="D150" s="32"/>
      <c r="E150" s="33"/>
      <c r="F150" s="43" t="s">
        <v>560</v>
      </c>
      <c r="G150" s="31" t="str">
        <f t="shared" si="2"/>
        <v/>
      </c>
      <c r="H150" s="35"/>
      <c r="I150" s="31"/>
      <c r="J150" s="155">
        <v>0</v>
      </c>
    </row>
    <row r="151" spans="1:10" ht="15" hidden="1" thickBot="1" x14ac:dyDescent="0.35">
      <c r="A151" s="229"/>
      <c r="B151" s="224"/>
      <c r="C151" s="36" t="s">
        <v>39</v>
      </c>
      <c r="D151" s="47" t="s">
        <v>12</v>
      </c>
      <c r="E151" s="37">
        <v>0.17549999999999999</v>
      </c>
      <c r="F151" s="31">
        <v>19.898499999999999</v>
      </c>
      <c r="G151" s="34">
        <f t="shared" si="2"/>
        <v>3.4921867499999997</v>
      </c>
      <c r="H151" s="39">
        <f>SUM(G151:G152)</f>
        <v>8.6533255499999999</v>
      </c>
      <c r="I151" s="40"/>
      <c r="J151" s="155">
        <v>0</v>
      </c>
    </row>
    <row r="152" spans="1:10" ht="15" hidden="1" thickBot="1" x14ac:dyDescent="0.35">
      <c r="A152" s="229"/>
      <c r="B152" s="224"/>
      <c r="C152" s="36" t="s">
        <v>23</v>
      </c>
      <c r="D152" s="36" t="s">
        <v>12</v>
      </c>
      <c r="E152" s="37">
        <v>0.3448</v>
      </c>
      <c r="F152" s="31">
        <v>14.968499999999999</v>
      </c>
      <c r="G152" s="34">
        <f t="shared" si="2"/>
        <v>5.1611387999999998</v>
      </c>
      <c r="H152" s="44"/>
      <c r="I152" s="40"/>
      <c r="J152" s="155">
        <v>0</v>
      </c>
    </row>
    <row r="153" spans="1:10" ht="15" hidden="1" thickBot="1" x14ac:dyDescent="0.35">
      <c r="A153" s="230"/>
      <c r="B153" s="225"/>
      <c r="C153" s="36"/>
      <c r="D153" s="36"/>
      <c r="E153" s="37"/>
      <c r="F153" s="31" t="s">
        <v>560</v>
      </c>
      <c r="G153" s="31" t="str">
        <f t="shared" si="2"/>
        <v/>
      </c>
      <c r="H153" s="35"/>
      <c r="I153" s="31"/>
      <c r="J153" s="155">
        <v>0</v>
      </c>
    </row>
    <row r="154" spans="1:10" ht="15" hidden="1" thickBot="1" x14ac:dyDescent="0.35">
      <c r="A154" s="226" t="s">
        <v>63</v>
      </c>
      <c r="B154" s="223" t="e">
        <f>INDEX(#REF!,MATCH(Composições!A154,#REF!,0),2)</f>
        <v>#REF!</v>
      </c>
      <c r="C154" s="41"/>
      <c r="D154" s="26" t="e">
        <f>TRIM(INDEX(#REF!,MATCH(Composições!A154,#REF!,0),1))</f>
        <v>#REF!</v>
      </c>
      <c r="E154" s="27"/>
      <c r="F154" s="42" t="s">
        <v>560</v>
      </c>
      <c r="G154" s="28" t="str">
        <f t="shared" si="2"/>
        <v/>
      </c>
      <c r="H154" s="29"/>
      <c r="I154" s="30"/>
      <c r="J154" s="155">
        <v>0</v>
      </c>
    </row>
    <row r="155" spans="1:10" ht="15" hidden="1" thickBot="1" x14ac:dyDescent="0.35">
      <c r="A155" s="227"/>
      <c r="B155" s="224"/>
      <c r="C155" s="32"/>
      <c r="D155" s="32"/>
      <c r="E155" s="33"/>
      <c r="F155" s="43" t="s">
        <v>560</v>
      </c>
      <c r="G155" s="31" t="str">
        <f t="shared" si="2"/>
        <v/>
      </c>
      <c r="H155" s="35"/>
      <c r="I155" s="31"/>
      <c r="J155" s="155">
        <v>0</v>
      </c>
    </row>
    <row r="156" spans="1:10" ht="15" hidden="1" thickBot="1" x14ac:dyDescent="0.35">
      <c r="A156" s="227"/>
      <c r="B156" s="224"/>
      <c r="C156" s="36" t="s">
        <v>30</v>
      </c>
      <c r="D156" s="47" t="s">
        <v>12</v>
      </c>
      <c r="E156" s="37">
        <f>0.0183*5</f>
        <v>9.1499999999999998E-2</v>
      </c>
      <c r="F156" s="31">
        <v>20.484999999999999</v>
      </c>
      <c r="G156" s="34">
        <f t="shared" si="2"/>
        <v>1.8743774999999998</v>
      </c>
      <c r="H156" s="39">
        <f>SUM(G156:G157)</f>
        <v>4.5612232499999994</v>
      </c>
      <c r="I156" s="40"/>
      <c r="J156" s="155">
        <v>0</v>
      </c>
    </row>
    <row r="157" spans="1:10" ht="15" hidden="1" thickBot="1" x14ac:dyDescent="0.35">
      <c r="A157" s="227"/>
      <c r="B157" s="224"/>
      <c r="C157" s="36" t="s">
        <v>23</v>
      </c>
      <c r="D157" s="47" t="s">
        <v>12</v>
      </c>
      <c r="E157" s="37">
        <f>0.0359*5</f>
        <v>0.17949999999999999</v>
      </c>
      <c r="F157" s="31">
        <v>14.968499999999999</v>
      </c>
      <c r="G157" s="34">
        <f t="shared" si="2"/>
        <v>2.6868457499999998</v>
      </c>
      <c r="H157" s="45"/>
      <c r="I157" s="46"/>
      <c r="J157" s="155">
        <v>0</v>
      </c>
    </row>
    <row r="158" spans="1:10" ht="15" hidden="1" thickBot="1" x14ac:dyDescent="0.35">
      <c r="A158" s="227"/>
      <c r="B158" s="224"/>
      <c r="C158" s="36"/>
      <c r="D158" s="36"/>
      <c r="E158" s="37"/>
      <c r="F158" s="31" t="s">
        <v>560</v>
      </c>
      <c r="G158" s="31" t="str">
        <f t="shared" si="2"/>
        <v/>
      </c>
      <c r="H158" s="35"/>
      <c r="I158" s="31"/>
      <c r="J158" s="155">
        <v>0</v>
      </c>
    </row>
    <row r="159" spans="1:10" ht="15" hidden="1" thickBot="1" x14ac:dyDescent="0.35">
      <c r="A159" s="227"/>
      <c r="B159" s="224"/>
      <c r="C159" s="48" t="s">
        <v>64</v>
      </c>
      <c r="D159" s="36"/>
      <c r="E159" s="37"/>
      <c r="F159" s="31" t="s">
        <v>560</v>
      </c>
      <c r="G159" s="31" t="str">
        <f t="shared" si="2"/>
        <v/>
      </c>
      <c r="H159" s="35"/>
      <c r="I159" s="31"/>
      <c r="J159" s="155">
        <v>0</v>
      </c>
    </row>
    <row r="160" spans="1:10" ht="15" hidden="1" thickBot="1" x14ac:dyDescent="0.35">
      <c r="A160" s="228"/>
      <c r="B160" s="225"/>
      <c r="C160" s="36"/>
      <c r="D160" s="36"/>
      <c r="E160" s="37"/>
      <c r="F160" s="31" t="s">
        <v>560</v>
      </c>
      <c r="G160" s="31" t="str">
        <f t="shared" si="2"/>
        <v/>
      </c>
      <c r="H160" s="35"/>
      <c r="I160" s="31"/>
      <c r="J160" s="155">
        <v>0</v>
      </c>
    </row>
    <row r="161" spans="1:10" ht="15" hidden="1" thickBot="1" x14ac:dyDescent="0.35">
      <c r="A161" s="226" t="s">
        <v>65</v>
      </c>
      <c r="B161" s="223" t="e">
        <f>INDEX(#REF!,MATCH(Composições!A161,#REF!,0),2)</f>
        <v>#REF!</v>
      </c>
      <c r="C161" s="41"/>
      <c r="D161" s="26" t="e">
        <f>TRIM(INDEX(#REF!,MATCH(Composições!A161,#REF!,0),1))</f>
        <v>#REF!</v>
      </c>
      <c r="E161" s="27"/>
      <c r="F161" s="42" t="s">
        <v>560</v>
      </c>
      <c r="G161" s="28" t="str">
        <f t="shared" si="2"/>
        <v/>
      </c>
      <c r="H161" s="29"/>
      <c r="I161" s="30"/>
      <c r="J161" s="155">
        <v>0</v>
      </c>
    </row>
    <row r="162" spans="1:10" ht="15" hidden="1" thickBot="1" x14ac:dyDescent="0.35">
      <c r="A162" s="229"/>
      <c r="B162" s="224"/>
      <c r="C162" s="32"/>
      <c r="D162" s="32"/>
      <c r="E162" s="33"/>
      <c r="F162" s="43" t="s">
        <v>560</v>
      </c>
      <c r="G162" s="31" t="str">
        <f t="shared" si="2"/>
        <v/>
      </c>
      <c r="H162" s="35"/>
      <c r="I162" s="31"/>
      <c r="J162" s="155">
        <v>0</v>
      </c>
    </row>
    <row r="163" spans="1:10" ht="15" hidden="1" thickBot="1" x14ac:dyDescent="0.35">
      <c r="A163" s="229"/>
      <c r="B163" s="224"/>
      <c r="C163" s="36" t="s">
        <v>39</v>
      </c>
      <c r="D163" s="47" t="s">
        <v>12</v>
      </c>
      <c r="E163" s="37">
        <v>0.128</v>
      </c>
      <c r="F163" s="31">
        <v>19.898499999999999</v>
      </c>
      <c r="G163" s="34">
        <f t="shared" si="2"/>
        <v>2.5470079999999999</v>
      </c>
      <c r="H163" s="39">
        <f>SUM(G163:G164)</f>
        <v>6.3100889000000002</v>
      </c>
      <c r="I163" s="40"/>
      <c r="J163" s="155">
        <v>0</v>
      </c>
    </row>
    <row r="164" spans="1:10" ht="15" hidden="1" thickBot="1" x14ac:dyDescent="0.35">
      <c r="A164" s="229"/>
      <c r="B164" s="224"/>
      <c r="C164" s="36" t="s">
        <v>23</v>
      </c>
      <c r="D164" s="36" t="s">
        <v>12</v>
      </c>
      <c r="E164" s="37">
        <v>0.25140000000000001</v>
      </c>
      <c r="F164" s="31">
        <v>14.968499999999999</v>
      </c>
      <c r="G164" s="34">
        <f t="shared" si="2"/>
        <v>3.7630808999999998</v>
      </c>
      <c r="H164" s="44"/>
      <c r="I164" s="40"/>
      <c r="J164" s="155">
        <v>0</v>
      </c>
    </row>
    <row r="165" spans="1:10" ht="15" hidden="1" thickBot="1" x14ac:dyDescent="0.35">
      <c r="A165" s="230"/>
      <c r="B165" s="225"/>
      <c r="C165" s="36"/>
      <c r="D165" s="36"/>
      <c r="E165" s="37"/>
      <c r="F165" s="31" t="s">
        <v>560</v>
      </c>
      <c r="G165" s="31" t="str">
        <f t="shared" si="2"/>
        <v/>
      </c>
      <c r="H165" s="35"/>
      <c r="I165" s="31"/>
      <c r="J165" s="155">
        <v>0</v>
      </c>
    </row>
    <row r="166" spans="1:10" ht="15" hidden="1" thickBot="1" x14ac:dyDescent="0.35">
      <c r="A166" s="226" t="s">
        <v>66</v>
      </c>
      <c r="B166" s="223" t="e">
        <f>INDEX(#REF!,MATCH(Composições!A166,#REF!,0),2)</f>
        <v>#REF!</v>
      </c>
      <c r="C166" s="41"/>
      <c r="D166" s="26" t="e">
        <f>TRIM(INDEX(#REF!,MATCH(Composições!A166,#REF!,0),1))</f>
        <v>#REF!</v>
      </c>
      <c r="E166" s="27"/>
      <c r="F166" s="42" t="s">
        <v>560</v>
      </c>
      <c r="G166" s="28" t="str">
        <f t="shared" si="2"/>
        <v/>
      </c>
      <c r="H166" s="29"/>
      <c r="I166" s="30"/>
      <c r="J166" s="155">
        <v>0</v>
      </c>
    </row>
    <row r="167" spans="1:10" ht="15" hidden="1" thickBot="1" x14ac:dyDescent="0.35">
      <c r="A167" s="229"/>
      <c r="B167" s="224"/>
      <c r="C167" s="32"/>
      <c r="D167" s="32"/>
      <c r="E167" s="33"/>
      <c r="F167" s="43" t="s">
        <v>560</v>
      </c>
      <c r="G167" s="31" t="str">
        <f t="shared" si="2"/>
        <v/>
      </c>
      <c r="H167" s="35"/>
      <c r="I167" s="31"/>
      <c r="J167" s="155">
        <v>0</v>
      </c>
    </row>
    <row r="168" spans="1:10" ht="15" hidden="1" thickBot="1" x14ac:dyDescent="0.35">
      <c r="A168" s="229"/>
      <c r="B168" s="224"/>
      <c r="C168" s="36" t="s">
        <v>23</v>
      </c>
      <c r="D168" s="36" t="s">
        <v>12</v>
      </c>
      <c r="E168" s="37">
        <v>0.35</v>
      </c>
      <c r="F168" s="31">
        <v>14.968499999999999</v>
      </c>
      <c r="G168" s="34">
        <f t="shared" si="2"/>
        <v>5.238974999999999</v>
      </c>
      <c r="H168" s="39">
        <f>SUM(G168:G169)</f>
        <v>12.349224999999997</v>
      </c>
      <c r="I168" s="40"/>
      <c r="J168" s="155">
        <v>0</v>
      </c>
    </row>
    <row r="169" spans="1:10" ht="15" hidden="1" thickBot="1" x14ac:dyDescent="0.35">
      <c r="A169" s="229"/>
      <c r="B169" s="224"/>
      <c r="C169" s="36" t="s">
        <v>22</v>
      </c>
      <c r="D169" s="36" t="s">
        <v>12</v>
      </c>
      <c r="E169" s="37">
        <v>0.35</v>
      </c>
      <c r="F169" s="31">
        <v>20.314999999999998</v>
      </c>
      <c r="G169" s="34">
        <f t="shared" si="2"/>
        <v>7.1102499999999988</v>
      </c>
      <c r="H169" s="35"/>
      <c r="I169" s="31"/>
      <c r="J169" s="155">
        <v>0</v>
      </c>
    </row>
    <row r="170" spans="1:10" ht="15" hidden="1" thickBot="1" x14ac:dyDescent="0.35">
      <c r="A170" s="230"/>
      <c r="B170" s="225"/>
      <c r="C170" s="36"/>
      <c r="D170" s="36"/>
      <c r="E170" s="37"/>
      <c r="F170" s="31" t="s">
        <v>560</v>
      </c>
      <c r="G170" s="31" t="str">
        <f t="shared" si="2"/>
        <v/>
      </c>
      <c r="H170" s="35"/>
      <c r="I170" s="31"/>
      <c r="J170" s="155">
        <v>0</v>
      </c>
    </row>
    <row r="171" spans="1:10" ht="15" hidden="1" thickBot="1" x14ac:dyDescent="0.35">
      <c r="A171" s="226" t="s">
        <v>67</v>
      </c>
      <c r="B171" s="223" t="e">
        <f>INDEX(#REF!,MATCH(Composições!A171,#REF!,0),2)</f>
        <v>#REF!</v>
      </c>
      <c r="C171" s="41"/>
      <c r="D171" s="26" t="e">
        <f>TRIM(INDEX(#REF!,MATCH(Composições!A171,#REF!,0),1))</f>
        <v>#REF!</v>
      </c>
      <c r="E171" s="27"/>
      <c r="F171" s="42" t="s">
        <v>560</v>
      </c>
      <c r="G171" s="28" t="str">
        <f t="shared" si="2"/>
        <v/>
      </c>
      <c r="H171" s="29"/>
      <c r="I171" s="30"/>
      <c r="J171" s="155">
        <v>0</v>
      </c>
    </row>
    <row r="172" spans="1:10" ht="15" hidden="1" thickBot="1" x14ac:dyDescent="0.35">
      <c r="A172" s="229"/>
      <c r="B172" s="224"/>
      <c r="C172" s="32"/>
      <c r="D172" s="32"/>
      <c r="E172" s="33"/>
      <c r="F172" s="43" t="s">
        <v>560</v>
      </c>
      <c r="G172" s="31" t="str">
        <f t="shared" si="2"/>
        <v/>
      </c>
      <c r="H172" s="35"/>
      <c r="I172" s="31"/>
      <c r="J172" s="155">
        <v>0</v>
      </c>
    </row>
    <row r="173" spans="1:10" ht="15" hidden="1" thickBot="1" x14ac:dyDescent="0.35">
      <c r="A173" s="229"/>
      <c r="B173" s="224"/>
      <c r="C173" s="36" t="s">
        <v>68</v>
      </c>
      <c r="D173" s="36" t="s">
        <v>12</v>
      </c>
      <c r="E173" s="37">
        <v>0.4</v>
      </c>
      <c r="F173" s="31">
        <v>18.861499999999999</v>
      </c>
      <c r="G173" s="34">
        <f t="shared" si="2"/>
        <v>7.5446</v>
      </c>
      <c r="H173" s="39">
        <f>SUM(G173:G173)</f>
        <v>7.5446</v>
      </c>
      <c r="I173" s="40"/>
      <c r="J173" s="155">
        <v>0</v>
      </c>
    </row>
    <row r="174" spans="1:10" ht="15" hidden="1" thickBot="1" x14ac:dyDescent="0.35">
      <c r="A174" s="230"/>
      <c r="B174" s="225"/>
      <c r="C174" s="36"/>
      <c r="D174" s="36"/>
      <c r="E174" s="37"/>
      <c r="F174" s="31" t="s">
        <v>560</v>
      </c>
      <c r="G174" s="31" t="str">
        <f t="shared" si="2"/>
        <v/>
      </c>
      <c r="H174" s="35"/>
      <c r="I174" s="31"/>
      <c r="J174" s="155">
        <v>0</v>
      </c>
    </row>
    <row r="175" spans="1:10" ht="15" hidden="1" thickBot="1" x14ac:dyDescent="0.35">
      <c r="A175" s="226" t="s">
        <v>69</v>
      </c>
      <c r="B175" s="223" t="e">
        <f>INDEX(#REF!,MATCH(Composições!A175,#REF!,0),2)</f>
        <v>#REF!</v>
      </c>
      <c r="C175" s="41"/>
      <c r="D175" s="26" t="e">
        <f>TRIM(INDEX(#REF!,MATCH(Composições!A175,#REF!,0),1))</f>
        <v>#REF!</v>
      </c>
      <c r="E175" s="27"/>
      <c r="F175" s="42" t="s">
        <v>560</v>
      </c>
      <c r="G175" s="28" t="str">
        <f t="shared" si="2"/>
        <v/>
      </c>
      <c r="H175" s="29"/>
      <c r="I175" s="30"/>
      <c r="J175" s="155">
        <v>0</v>
      </c>
    </row>
    <row r="176" spans="1:10" ht="15" hidden="1" thickBot="1" x14ac:dyDescent="0.35">
      <c r="A176" s="229"/>
      <c r="B176" s="224"/>
      <c r="C176" s="32"/>
      <c r="D176" s="32"/>
      <c r="E176" s="33"/>
      <c r="F176" s="43" t="s">
        <v>560</v>
      </c>
      <c r="G176" s="31" t="str">
        <f t="shared" si="2"/>
        <v/>
      </c>
      <c r="H176" s="35"/>
      <c r="I176" s="31"/>
      <c r="J176" s="155">
        <v>0</v>
      </c>
    </row>
    <row r="177" spans="1:10" ht="15" hidden="1" thickBot="1" x14ac:dyDescent="0.35">
      <c r="A177" s="229"/>
      <c r="B177" s="224"/>
      <c r="C177" s="36" t="s">
        <v>50</v>
      </c>
      <c r="D177" s="36" t="s">
        <v>12</v>
      </c>
      <c r="E177" s="37">
        <f>ROUND(1/6,4)</f>
        <v>0.16669999999999999</v>
      </c>
      <c r="F177" s="31">
        <v>17.815999999999999</v>
      </c>
      <c r="G177" s="34">
        <f t="shared" si="2"/>
        <v>2.9699271999999994</v>
      </c>
      <c r="H177" s="39">
        <f>SUM(G177:G177)</f>
        <v>2.9699271999999994</v>
      </c>
      <c r="I177" s="40"/>
      <c r="J177" s="155">
        <v>0</v>
      </c>
    </row>
    <row r="178" spans="1:10" ht="15" hidden="1" thickBot="1" x14ac:dyDescent="0.35">
      <c r="A178" s="230"/>
      <c r="B178" s="225"/>
      <c r="C178" s="36"/>
      <c r="D178" s="36"/>
      <c r="E178" s="37"/>
      <c r="F178" s="31" t="s">
        <v>560</v>
      </c>
      <c r="G178" s="31" t="str">
        <f t="shared" si="2"/>
        <v/>
      </c>
      <c r="H178" s="35"/>
      <c r="I178" s="31"/>
      <c r="J178" s="155">
        <v>0</v>
      </c>
    </row>
    <row r="179" spans="1:10" ht="15" hidden="1" thickBot="1" x14ac:dyDescent="0.35">
      <c r="A179" s="226" t="s">
        <v>70</v>
      </c>
      <c r="B179" s="223" t="e">
        <f>INDEX(#REF!,MATCH(Composições!A179,#REF!,0),2)</f>
        <v>#REF!</v>
      </c>
      <c r="C179" s="41"/>
      <c r="D179" s="26" t="e">
        <f>TRIM(INDEX(#REF!,MATCH(Composições!A179,#REF!,0),1))</f>
        <v>#REF!</v>
      </c>
      <c r="E179" s="27"/>
      <c r="F179" s="42" t="s">
        <v>560</v>
      </c>
      <c r="G179" s="28" t="str">
        <f t="shared" si="2"/>
        <v/>
      </c>
      <c r="H179" s="29"/>
      <c r="I179" s="30"/>
      <c r="J179" s="155">
        <v>0</v>
      </c>
    </row>
    <row r="180" spans="1:10" ht="15" hidden="1" thickBot="1" x14ac:dyDescent="0.35">
      <c r="A180" s="229"/>
      <c r="B180" s="224"/>
      <c r="C180" s="32"/>
      <c r="D180" s="32"/>
      <c r="E180" s="33"/>
      <c r="F180" s="43" t="s">
        <v>560</v>
      </c>
      <c r="G180" s="31" t="str">
        <f t="shared" si="2"/>
        <v/>
      </c>
      <c r="H180" s="35"/>
      <c r="I180" s="31"/>
      <c r="J180" s="155">
        <v>0</v>
      </c>
    </row>
    <row r="181" spans="1:10" ht="15" hidden="1" thickBot="1" x14ac:dyDescent="0.35">
      <c r="A181" s="229"/>
      <c r="B181" s="224"/>
      <c r="C181" s="36" t="s">
        <v>23</v>
      </c>
      <c r="D181" s="36" t="s">
        <v>12</v>
      </c>
      <c r="E181" s="37">
        <v>0.4</v>
      </c>
      <c r="F181" s="31">
        <v>14.968499999999999</v>
      </c>
      <c r="G181" s="34">
        <f t="shared" si="2"/>
        <v>5.9874000000000001</v>
      </c>
      <c r="H181" s="39">
        <f>SUM(G181:G181)</f>
        <v>5.9874000000000001</v>
      </c>
      <c r="I181" s="40"/>
      <c r="J181" s="155">
        <v>0</v>
      </c>
    </row>
    <row r="182" spans="1:10" ht="15" hidden="1" thickBot="1" x14ac:dyDescent="0.35">
      <c r="A182" s="230"/>
      <c r="B182" s="225"/>
      <c r="C182" s="36"/>
      <c r="D182" s="36"/>
      <c r="E182" s="37"/>
      <c r="F182" s="31" t="s">
        <v>560</v>
      </c>
      <c r="G182" s="31" t="str">
        <f t="shared" si="2"/>
        <v/>
      </c>
      <c r="H182" s="35"/>
      <c r="I182" s="31"/>
      <c r="J182" s="155">
        <v>0</v>
      </c>
    </row>
    <row r="183" spans="1:10" ht="15" hidden="1" thickBot="1" x14ac:dyDescent="0.35">
      <c r="A183" s="226" t="s">
        <v>71</v>
      </c>
      <c r="B183" s="223" t="e">
        <f>INDEX(#REF!,MATCH(Composições!A183,#REF!,0),2)</f>
        <v>#REF!</v>
      </c>
      <c r="C183" s="41"/>
      <c r="D183" s="26" t="e">
        <f>TRIM(INDEX(#REF!,MATCH(Composições!A183,#REF!,0),1))</f>
        <v>#REF!</v>
      </c>
      <c r="E183" s="27"/>
      <c r="F183" s="42" t="s">
        <v>560</v>
      </c>
      <c r="G183" s="28" t="str">
        <f t="shared" si="2"/>
        <v/>
      </c>
      <c r="H183" s="29"/>
      <c r="I183" s="30"/>
      <c r="J183" s="155">
        <v>0</v>
      </c>
    </row>
    <row r="184" spans="1:10" ht="15" hidden="1" thickBot="1" x14ac:dyDescent="0.35">
      <c r="A184" s="229"/>
      <c r="B184" s="224"/>
      <c r="C184" s="32"/>
      <c r="D184" s="32"/>
      <c r="E184" s="33"/>
      <c r="F184" s="43" t="s">
        <v>560</v>
      </c>
      <c r="G184" s="31" t="str">
        <f t="shared" si="2"/>
        <v/>
      </c>
      <c r="H184" s="35"/>
      <c r="I184" s="31"/>
      <c r="J184" s="155">
        <v>0</v>
      </c>
    </row>
    <row r="185" spans="1:10" ht="15" hidden="1" thickBot="1" x14ac:dyDescent="0.35">
      <c r="A185" s="229"/>
      <c r="B185" s="224"/>
      <c r="C185" s="36" t="s">
        <v>27</v>
      </c>
      <c r="D185" s="36" t="s">
        <v>12</v>
      </c>
      <c r="E185" s="37">
        <f>0.0258*3</f>
        <v>7.7399999999999997E-2</v>
      </c>
      <c r="F185" s="31">
        <v>15.4785</v>
      </c>
      <c r="G185" s="34">
        <f t="shared" si="2"/>
        <v>1.1980359</v>
      </c>
      <c r="H185" s="39">
        <f>SUM(G185:G186)</f>
        <v>3.4747447500000002</v>
      </c>
      <c r="I185" s="40"/>
      <c r="J185" s="155">
        <v>0</v>
      </c>
    </row>
    <row r="186" spans="1:10" ht="15" hidden="1" thickBot="1" x14ac:dyDescent="0.35">
      <c r="A186" s="229"/>
      <c r="B186" s="224"/>
      <c r="C186" s="36" t="s">
        <v>23</v>
      </c>
      <c r="D186" s="36" t="s">
        <v>12</v>
      </c>
      <c r="E186" s="37">
        <f>0.0507*3</f>
        <v>0.15210000000000001</v>
      </c>
      <c r="F186" s="31">
        <v>14.968499999999999</v>
      </c>
      <c r="G186" s="34">
        <f t="shared" si="2"/>
        <v>2.2767088499999999</v>
      </c>
      <c r="H186" s="35"/>
      <c r="I186" s="31"/>
      <c r="J186" s="155">
        <v>0</v>
      </c>
    </row>
    <row r="187" spans="1:10" ht="15" hidden="1" thickBot="1" x14ac:dyDescent="0.35">
      <c r="A187" s="229"/>
      <c r="B187" s="224"/>
      <c r="C187" s="36"/>
      <c r="D187" s="36"/>
      <c r="E187" s="37"/>
      <c r="F187" s="31" t="s">
        <v>560</v>
      </c>
      <c r="G187" s="34" t="str">
        <f t="shared" si="2"/>
        <v/>
      </c>
      <c r="H187" s="35"/>
      <c r="I187" s="31"/>
      <c r="J187" s="155">
        <v>0</v>
      </c>
    </row>
    <row r="188" spans="1:10" ht="15" hidden="1" thickBot="1" x14ac:dyDescent="0.35">
      <c r="A188" s="229"/>
      <c r="B188" s="224"/>
      <c r="C188" s="48" t="s">
        <v>72</v>
      </c>
      <c r="D188" s="36"/>
      <c r="E188" s="37"/>
      <c r="F188" s="31" t="s">
        <v>560</v>
      </c>
      <c r="G188" s="34" t="str">
        <f t="shared" si="2"/>
        <v/>
      </c>
      <c r="H188" s="35"/>
      <c r="I188" s="31"/>
      <c r="J188" s="155">
        <v>0</v>
      </c>
    </row>
    <row r="189" spans="1:10" ht="15" hidden="1" thickBot="1" x14ac:dyDescent="0.35">
      <c r="A189" s="230"/>
      <c r="B189" s="225"/>
      <c r="C189" s="36"/>
      <c r="D189" s="36"/>
      <c r="E189" s="37"/>
      <c r="F189" s="31" t="s">
        <v>560</v>
      </c>
      <c r="G189" s="31" t="str">
        <f t="shared" si="2"/>
        <v/>
      </c>
      <c r="H189" s="35"/>
      <c r="I189" s="31"/>
      <c r="J189" s="155">
        <v>0</v>
      </c>
    </row>
    <row r="190" spans="1:10" ht="15" hidden="1" thickBot="1" x14ac:dyDescent="0.35">
      <c r="A190" s="226" t="s">
        <v>73</v>
      </c>
      <c r="B190" s="223" t="e">
        <f>INDEX(#REF!,MATCH(Composições!A190,#REF!,0),2)</f>
        <v>#REF!</v>
      </c>
      <c r="C190" s="41"/>
      <c r="D190" s="26" t="e">
        <f>TRIM(INDEX(#REF!,MATCH(Composições!A190,#REF!,0),1))</f>
        <v>#REF!</v>
      </c>
      <c r="E190" s="27"/>
      <c r="F190" s="42" t="s">
        <v>560</v>
      </c>
      <c r="G190" s="28" t="str">
        <f t="shared" si="2"/>
        <v/>
      </c>
      <c r="H190" s="29"/>
      <c r="I190" s="30"/>
      <c r="J190" s="155">
        <v>0</v>
      </c>
    </row>
    <row r="191" spans="1:10" ht="15" hidden="1" thickBot="1" x14ac:dyDescent="0.35">
      <c r="A191" s="229"/>
      <c r="B191" s="224"/>
      <c r="C191" s="32"/>
      <c r="D191" s="32"/>
      <c r="E191" s="33"/>
      <c r="F191" s="43" t="s">
        <v>560</v>
      </c>
      <c r="G191" s="31" t="str">
        <f t="shared" si="2"/>
        <v/>
      </c>
      <c r="H191" s="35"/>
      <c r="I191" s="31"/>
      <c r="J191" s="155">
        <v>0</v>
      </c>
    </row>
    <row r="192" spans="1:10" ht="15" hidden="1" thickBot="1" x14ac:dyDescent="0.35">
      <c r="A192" s="229"/>
      <c r="B192" s="224"/>
      <c r="C192" s="36" t="s">
        <v>74</v>
      </c>
      <c r="D192" s="36" t="s">
        <v>12</v>
      </c>
      <c r="E192" s="37">
        <v>0.5</v>
      </c>
      <c r="F192" s="31">
        <v>15.928999999999998</v>
      </c>
      <c r="G192" s="34">
        <f t="shared" si="2"/>
        <v>7.9644999999999992</v>
      </c>
      <c r="H192" s="39">
        <f>SUM(G192:G195)</f>
        <v>53.490499999999997</v>
      </c>
      <c r="I192" s="40"/>
      <c r="J192" s="155">
        <v>0</v>
      </c>
    </row>
    <row r="193" spans="1:10" ht="15" hidden="1" thickBot="1" x14ac:dyDescent="0.35">
      <c r="A193" s="229"/>
      <c r="B193" s="224"/>
      <c r="C193" s="36" t="s">
        <v>30</v>
      </c>
      <c r="D193" s="36" t="s">
        <v>12</v>
      </c>
      <c r="E193" s="37">
        <v>0.5</v>
      </c>
      <c r="F193" s="31">
        <v>20.484999999999999</v>
      </c>
      <c r="G193" s="34">
        <f t="shared" si="2"/>
        <v>10.2425</v>
      </c>
      <c r="H193" s="35"/>
      <c r="I193" s="31"/>
      <c r="J193" s="155">
        <v>0</v>
      </c>
    </row>
    <row r="194" spans="1:10" ht="15" hidden="1" thickBot="1" x14ac:dyDescent="0.35">
      <c r="A194" s="229"/>
      <c r="B194" s="224"/>
      <c r="C194" s="36" t="s">
        <v>22</v>
      </c>
      <c r="D194" s="36" t="s">
        <v>12</v>
      </c>
      <c r="E194" s="37">
        <v>1</v>
      </c>
      <c r="F194" s="31">
        <v>20.314999999999998</v>
      </c>
      <c r="G194" s="34">
        <f t="shared" si="2"/>
        <v>20.314999999999998</v>
      </c>
      <c r="H194" s="35"/>
      <c r="I194" s="31"/>
      <c r="J194" s="155">
        <v>0</v>
      </c>
    </row>
    <row r="195" spans="1:10" ht="15" hidden="1" thickBot="1" x14ac:dyDescent="0.35">
      <c r="A195" s="229"/>
      <c r="B195" s="224"/>
      <c r="C195" s="36" t="s">
        <v>23</v>
      </c>
      <c r="D195" s="36" t="s">
        <v>12</v>
      </c>
      <c r="E195" s="37">
        <v>1</v>
      </c>
      <c r="F195" s="31">
        <v>14.968499999999999</v>
      </c>
      <c r="G195" s="34">
        <f t="shared" si="2"/>
        <v>14.968499999999999</v>
      </c>
      <c r="H195" s="35"/>
      <c r="I195" s="31"/>
      <c r="J195" s="155">
        <v>0</v>
      </c>
    </row>
    <row r="196" spans="1:10" ht="15" hidden="1" thickBot="1" x14ac:dyDescent="0.35">
      <c r="A196" s="230"/>
      <c r="B196" s="225"/>
      <c r="C196" s="36"/>
      <c r="D196" s="36"/>
      <c r="E196" s="37"/>
      <c r="F196" s="31" t="s">
        <v>560</v>
      </c>
      <c r="G196" s="31" t="str">
        <f t="shared" si="2"/>
        <v/>
      </c>
      <c r="H196" s="35"/>
      <c r="I196" s="31"/>
      <c r="J196" s="155">
        <v>0</v>
      </c>
    </row>
    <row r="197" spans="1:10" ht="15" hidden="1" thickBot="1" x14ac:dyDescent="0.35">
      <c r="A197" s="226" t="s">
        <v>75</v>
      </c>
      <c r="B197" s="223" t="e">
        <f>INDEX(#REF!,MATCH(Composições!A197,#REF!,0),2)</f>
        <v>#REF!</v>
      </c>
      <c r="C197" s="41"/>
      <c r="D197" s="26" t="e">
        <f>TRIM(INDEX(#REF!,MATCH(Composições!A197,#REF!,0),1))</f>
        <v>#REF!</v>
      </c>
      <c r="E197" s="27"/>
      <c r="F197" s="42" t="s">
        <v>560</v>
      </c>
      <c r="G197" s="28" t="str">
        <f t="shared" si="2"/>
        <v/>
      </c>
      <c r="H197" s="29"/>
      <c r="I197" s="30"/>
      <c r="J197" s="155">
        <v>0</v>
      </c>
    </row>
    <row r="198" spans="1:10" ht="15" hidden="1" thickBot="1" x14ac:dyDescent="0.35">
      <c r="A198" s="229"/>
      <c r="B198" s="224"/>
      <c r="C198" s="32"/>
      <c r="D198" s="32"/>
      <c r="E198" s="33"/>
      <c r="F198" s="43" t="s">
        <v>560</v>
      </c>
      <c r="G198" s="31" t="str">
        <f t="shared" ref="G198:G261" si="3">IF(ISNUMBER(F198),E198*F198,"")</f>
        <v/>
      </c>
      <c r="H198" s="35"/>
      <c r="I198" s="31"/>
      <c r="J198" s="155">
        <v>0</v>
      </c>
    </row>
    <row r="199" spans="1:10" ht="15" hidden="1" thickBot="1" x14ac:dyDescent="0.35">
      <c r="A199" s="229"/>
      <c r="B199" s="224"/>
      <c r="C199" s="36" t="s">
        <v>23</v>
      </c>
      <c r="D199" s="36" t="s">
        <v>12</v>
      </c>
      <c r="E199" s="37">
        <v>0.2</v>
      </c>
      <c r="F199" s="31">
        <v>14.968499999999999</v>
      </c>
      <c r="G199" s="34">
        <f t="shared" si="3"/>
        <v>2.9937</v>
      </c>
      <c r="H199" s="39">
        <f>SUM(G199:G199)</f>
        <v>2.9937</v>
      </c>
      <c r="I199" s="40"/>
      <c r="J199" s="155">
        <v>0</v>
      </c>
    </row>
    <row r="200" spans="1:10" ht="15" hidden="1" thickBot="1" x14ac:dyDescent="0.35">
      <c r="A200" s="230"/>
      <c r="B200" s="225"/>
      <c r="C200" s="36"/>
      <c r="D200" s="36"/>
      <c r="E200" s="37"/>
      <c r="F200" s="31" t="s">
        <v>560</v>
      </c>
      <c r="G200" s="31" t="str">
        <f t="shared" si="3"/>
        <v/>
      </c>
      <c r="H200" s="35"/>
      <c r="I200" s="31"/>
      <c r="J200" s="155">
        <v>0</v>
      </c>
    </row>
    <row r="201" spans="1:10" ht="15" hidden="1" thickBot="1" x14ac:dyDescent="0.35">
      <c r="A201" s="226" t="s">
        <v>76</v>
      </c>
      <c r="B201" s="223" t="e">
        <f>INDEX(#REF!,MATCH(Composições!A201,#REF!,0),2)</f>
        <v>#REF!</v>
      </c>
      <c r="C201" s="41"/>
      <c r="D201" s="26" t="e">
        <f>TRIM(INDEX(#REF!,MATCH(Composições!A201,#REF!,0),1))</f>
        <v>#REF!</v>
      </c>
      <c r="E201" s="27"/>
      <c r="F201" s="42" t="s">
        <v>560</v>
      </c>
      <c r="G201" s="28" t="str">
        <f t="shared" si="3"/>
        <v/>
      </c>
      <c r="H201" s="29"/>
      <c r="I201" s="30"/>
      <c r="J201" s="155">
        <v>0</v>
      </c>
    </row>
    <row r="202" spans="1:10" ht="15" hidden="1" thickBot="1" x14ac:dyDescent="0.35">
      <c r="A202" s="229"/>
      <c r="B202" s="224"/>
      <c r="C202" s="32"/>
      <c r="D202" s="32"/>
      <c r="E202" s="33"/>
      <c r="F202" s="43" t="s">
        <v>560</v>
      </c>
      <c r="G202" s="31" t="str">
        <f t="shared" si="3"/>
        <v/>
      </c>
      <c r="H202" s="35"/>
      <c r="I202" s="31"/>
      <c r="J202" s="155">
        <v>0</v>
      </c>
    </row>
    <row r="203" spans="1:10" ht="15" hidden="1" thickBot="1" x14ac:dyDescent="0.35">
      <c r="A203" s="229"/>
      <c r="B203" s="224"/>
      <c r="C203" s="36" t="s">
        <v>23</v>
      </c>
      <c r="D203" s="36" t="s">
        <v>12</v>
      </c>
      <c r="E203" s="37">
        <f>0.437*0.2</f>
        <v>8.7400000000000005E-2</v>
      </c>
      <c r="F203" s="31">
        <v>14.968499999999999</v>
      </c>
      <c r="G203" s="34">
        <f t="shared" si="3"/>
        <v>1.3082468999999999</v>
      </c>
      <c r="H203" s="39">
        <f>SUM(G203:G203)</f>
        <v>1.3082468999999999</v>
      </c>
      <c r="I203" s="40"/>
      <c r="J203" s="155">
        <v>0</v>
      </c>
    </row>
    <row r="204" spans="1:10" ht="15" hidden="1" thickBot="1" x14ac:dyDescent="0.35">
      <c r="A204" s="229"/>
      <c r="B204" s="224"/>
      <c r="C204" s="36"/>
      <c r="D204" s="36"/>
      <c r="E204" s="37"/>
      <c r="F204" s="31" t="s">
        <v>560</v>
      </c>
      <c r="G204" s="34" t="str">
        <f t="shared" si="3"/>
        <v/>
      </c>
      <c r="H204" s="35"/>
      <c r="I204" s="31"/>
      <c r="J204" s="155">
        <v>0</v>
      </c>
    </row>
    <row r="205" spans="1:10" ht="15" hidden="1" thickBot="1" x14ac:dyDescent="0.35">
      <c r="A205" s="226" t="s">
        <v>77</v>
      </c>
      <c r="B205" s="223" t="e">
        <f>INDEX(#REF!,MATCH(Composições!A205,#REF!,0),2)</f>
        <v>#REF!</v>
      </c>
      <c r="C205" s="41"/>
      <c r="D205" s="26" t="e">
        <f>TRIM(INDEX(#REF!,MATCH(Composições!A205,#REF!,0),1))</f>
        <v>#REF!</v>
      </c>
      <c r="E205" s="27"/>
      <c r="F205" s="42" t="s">
        <v>560</v>
      </c>
      <c r="G205" s="28" t="str">
        <f t="shared" si="3"/>
        <v/>
      </c>
      <c r="H205" s="29"/>
      <c r="I205" s="30"/>
      <c r="J205" s="155">
        <v>0</v>
      </c>
    </row>
    <row r="206" spans="1:10" ht="15" hidden="1" thickBot="1" x14ac:dyDescent="0.35">
      <c r="A206" s="229"/>
      <c r="B206" s="224"/>
      <c r="C206" s="32"/>
      <c r="D206" s="32"/>
      <c r="E206" s="33"/>
      <c r="F206" s="43" t="s">
        <v>560</v>
      </c>
      <c r="G206" s="31" t="str">
        <f t="shared" si="3"/>
        <v/>
      </c>
      <c r="H206" s="35"/>
      <c r="I206" s="31"/>
      <c r="J206" s="155">
        <v>0</v>
      </c>
    </row>
    <row r="207" spans="1:10" ht="15" hidden="1" thickBot="1" x14ac:dyDescent="0.35">
      <c r="A207" s="229"/>
      <c r="B207" s="224"/>
      <c r="C207" s="36" t="s">
        <v>78</v>
      </c>
      <c r="D207" s="36" t="s">
        <v>12</v>
      </c>
      <c r="E207" s="37">
        <v>0.25</v>
      </c>
      <c r="F207" s="31">
        <v>20.128</v>
      </c>
      <c r="G207" s="31">
        <f t="shared" si="3"/>
        <v>5.032</v>
      </c>
      <c r="H207" s="39">
        <f>SUM(G207:G208)</f>
        <v>5.4062124999999996</v>
      </c>
      <c r="I207" s="40"/>
      <c r="J207" s="155">
        <v>0</v>
      </c>
    </row>
    <row r="208" spans="1:10" ht="15" hidden="1" thickBot="1" x14ac:dyDescent="0.35">
      <c r="A208" s="229"/>
      <c r="B208" s="224"/>
      <c r="C208" s="36" t="s">
        <v>23</v>
      </c>
      <c r="D208" s="47" t="s">
        <v>12</v>
      </c>
      <c r="E208" s="37">
        <v>2.5000000000000001E-2</v>
      </c>
      <c r="F208" s="31">
        <v>14.968499999999999</v>
      </c>
      <c r="G208" s="34">
        <f t="shared" si="3"/>
        <v>0.3742125</v>
      </c>
      <c r="H208" s="35"/>
      <c r="I208" s="31"/>
      <c r="J208" s="155">
        <v>0</v>
      </c>
    </row>
    <row r="209" spans="1:10" ht="15" hidden="1" thickBot="1" x14ac:dyDescent="0.35">
      <c r="A209" s="230"/>
      <c r="B209" s="225"/>
      <c r="C209" s="36"/>
      <c r="D209" s="36"/>
      <c r="E209" s="37"/>
      <c r="F209" s="31" t="s">
        <v>560</v>
      </c>
      <c r="G209" s="31" t="str">
        <f t="shared" si="3"/>
        <v/>
      </c>
      <c r="H209" s="35"/>
      <c r="I209" s="31"/>
      <c r="J209" s="155">
        <v>0</v>
      </c>
    </row>
    <row r="210" spans="1:10" ht="15" hidden="1" thickBot="1" x14ac:dyDescent="0.35">
      <c r="A210" s="226" t="s">
        <v>79</v>
      </c>
      <c r="B210" s="223" t="e">
        <f>INDEX(#REF!,MATCH(Composições!A210,#REF!,0),2)</f>
        <v>#REF!</v>
      </c>
      <c r="C210" s="41"/>
      <c r="D210" s="26" t="e">
        <f>TRIM(INDEX(#REF!,MATCH(Composições!A210,#REF!,0),1))</f>
        <v>#REF!</v>
      </c>
      <c r="E210" s="27"/>
      <c r="F210" s="42" t="s">
        <v>560</v>
      </c>
      <c r="G210" s="28" t="str">
        <f t="shared" si="3"/>
        <v/>
      </c>
      <c r="H210" s="29"/>
      <c r="I210" s="30"/>
      <c r="J210" s="155">
        <v>0</v>
      </c>
    </row>
    <row r="211" spans="1:10" ht="15" hidden="1" thickBot="1" x14ac:dyDescent="0.35">
      <c r="A211" s="229"/>
      <c r="B211" s="224"/>
      <c r="C211" s="32"/>
      <c r="D211" s="32"/>
      <c r="E211" s="33"/>
      <c r="F211" s="43" t="s">
        <v>560</v>
      </c>
      <c r="G211" s="31" t="str">
        <f t="shared" si="3"/>
        <v/>
      </c>
      <c r="H211" s="35"/>
      <c r="I211" s="31"/>
      <c r="J211" s="155">
        <v>0</v>
      </c>
    </row>
    <row r="212" spans="1:10" ht="15" hidden="1" thickBot="1" x14ac:dyDescent="0.35">
      <c r="A212" s="229"/>
      <c r="B212" s="224"/>
      <c r="C212" s="36" t="s">
        <v>23</v>
      </c>
      <c r="D212" s="36" t="s">
        <v>12</v>
      </c>
      <c r="E212" s="37">
        <v>0.55000000000000004</v>
      </c>
      <c r="F212" s="31">
        <v>14.968499999999999</v>
      </c>
      <c r="G212" s="34">
        <f t="shared" si="3"/>
        <v>8.2326750000000004</v>
      </c>
      <c r="H212" s="39">
        <f>SUM(G212:G212)</f>
        <v>8.2326750000000004</v>
      </c>
      <c r="I212" s="40"/>
      <c r="J212" s="155">
        <v>0</v>
      </c>
    </row>
    <row r="213" spans="1:10" ht="15" hidden="1" thickBot="1" x14ac:dyDescent="0.35">
      <c r="A213" s="230"/>
      <c r="B213" s="225"/>
      <c r="C213" s="36"/>
      <c r="D213" s="36"/>
      <c r="E213" s="37"/>
      <c r="F213" s="31" t="s">
        <v>560</v>
      </c>
      <c r="G213" s="31" t="str">
        <f t="shared" si="3"/>
        <v/>
      </c>
      <c r="H213" s="35"/>
      <c r="I213" s="31"/>
      <c r="J213" s="155">
        <v>0</v>
      </c>
    </row>
    <row r="214" spans="1:10" ht="15" hidden="1" thickBot="1" x14ac:dyDescent="0.35">
      <c r="A214" s="226" t="s">
        <v>80</v>
      </c>
      <c r="B214" s="223" t="e">
        <f>INDEX(#REF!,MATCH(Composições!A214,#REF!,0),2)</f>
        <v>#REF!</v>
      </c>
      <c r="C214" s="41"/>
      <c r="D214" s="26" t="e">
        <f>TRIM(INDEX(#REF!,MATCH(Composições!A214,#REF!,0),1))</f>
        <v>#REF!</v>
      </c>
      <c r="E214" s="27"/>
      <c r="F214" s="42" t="s">
        <v>560</v>
      </c>
      <c r="G214" s="28" t="str">
        <f t="shared" si="3"/>
        <v/>
      </c>
      <c r="H214" s="29"/>
      <c r="I214" s="30"/>
      <c r="J214" s="155">
        <v>0</v>
      </c>
    </row>
    <row r="215" spans="1:10" ht="15" hidden="1" thickBot="1" x14ac:dyDescent="0.35">
      <c r="A215" s="229"/>
      <c r="B215" s="224"/>
      <c r="C215" s="32"/>
      <c r="D215" s="32"/>
      <c r="E215" s="33"/>
      <c r="F215" s="43" t="s">
        <v>560</v>
      </c>
      <c r="G215" s="31" t="str">
        <f t="shared" si="3"/>
        <v/>
      </c>
      <c r="H215" s="35"/>
      <c r="I215" s="31"/>
      <c r="J215" s="155">
        <v>0</v>
      </c>
    </row>
    <row r="216" spans="1:10" ht="15" hidden="1" thickBot="1" x14ac:dyDescent="0.35">
      <c r="A216" s="229"/>
      <c r="B216" s="224"/>
      <c r="C216" s="36" t="s">
        <v>81</v>
      </c>
      <c r="D216" s="47" t="s">
        <v>12</v>
      </c>
      <c r="E216" s="37">
        <v>1</v>
      </c>
      <c r="F216" s="31">
        <v>21.233000000000001</v>
      </c>
      <c r="G216" s="31">
        <f t="shared" si="3"/>
        <v>21.233000000000001</v>
      </c>
      <c r="H216" s="39">
        <f>SUM(G216:G217)</f>
        <v>37.247</v>
      </c>
      <c r="I216" s="40"/>
      <c r="J216" s="155">
        <v>0</v>
      </c>
    </row>
    <row r="217" spans="1:10" ht="15" hidden="1" thickBot="1" x14ac:dyDescent="0.35">
      <c r="A217" s="229"/>
      <c r="B217" s="224"/>
      <c r="C217" s="36" t="s">
        <v>52</v>
      </c>
      <c r="D217" s="47" t="s">
        <v>12</v>
      </c>
      <c r="E217" s="37">
        <v>1</v>
      </c>
      <c r="F217" s="31">
        <v>16.013999999999999</v>
      </c>
      <c r="G217" s="34">
        <f t="shared" si="3"/>
        <v>16.013999999999999</v>
      </c>
      <c r="H217" s="35"/>
      <c r="I217" s="31"/>
      <c r="J217" s="155">
        <v>0</v>
      </c>
    </row>
    <row r="218" spans="1:10" ht="15" hidden="1" thickBot="1" x14ac:dyDescent="0.35">
      <c r="A218" s="230"/>
      <c r="B218" s="225"/>
      <c r="C218" s="36"/>
      <c r="D218" s="36"/>
      <c r="E218" s="37"/>
      <c r="F218" s="31" t="s">
        <v>560</v>
      </c>
      <c r="G218" s="31" t="str">
        <f t="shared" si="3"/>
        <v/>
      </c>
      <c r="H218" s="35"/>
      <c r="I218" s="31"/>
      <c r="J218" s="155">
        <v>0</v>
      </c>
    </row>
    <row r="219" spans="1:10" ht="15" hidden="1" thickBot="1" x14ac:dyDescent="0.35">
      <c r="A219" s="226" t="s">
        <v>82</v>
      </c>
      <c r="B219" s="223" t="e">
        <f>INDEX(#REF!,MATCH(Composições!A219,#REF!,0),2)</f>
        <v>#REF!</v>
      </c>
      <c r="C219" s="41"/>
      <c r="D219" s="26" t="e">
        <f>TRIM(INDEX(#REF!,MATCH(Composições!A219,#REF!,0),1))</f>
        <v>#REF!</v>
      </c>
      <c r="E219" s="27"/>
      <c r="F219" s="42" t="s">
        <v>560</v>
      </c>
      <c r="G219" s="28" t="str">
        <f t="shared" si="3"/>
        <v/>
      </c>
      <c r="H219" s="29"/>
      <c r="I219" s="30"/>
      <c r="J219" s="155">
        <v>0</v>
      </c>
    </row>
    <row r="220" spans="1:10" ht="15" hidden="1" thickBot="1" x14ac:dyDescent="0.35">
      <c r="A220" s="229"/>
      <c r="B220" s="224"/>
      <c r="C220" s="32"/>
      <c r="D220" s="32"/>
      <c r="E220" s="33"/>
      <c r="F220" s="43" t="s">
        <v>560</v>
      </c>
      <c r="G220" s="31" t="str">
        <f t="shared" si="3"/>
        <v/>
      </c>
      <c r="H220" s="35"/>
      <c r="I220" s="31"/>
      <c r="J220" s="155">
        <v>0</v>
      </c>
    </row>
    <row r="221" spans="1:10" ht="15" hidden="1" thickBot="1" x14ac:dyDescent="0.35">
      <c r="A221" s="229"/>
      <c r="B221" s="224"/>
      <c r="C221" s="36" t="s">
        <v>23</v>
      </c>
      <c r="D221" s="36" t="s">
        <v>12</v>
      </c>
      <c r="E221" s="37">
        <v>0.39</v>
      </c>
      <c r="F221" s="31">
        <v>14.968499999999999</v>
      </c>
      <c r="G221" s="34">
        <f t="shared" si="3"/>
        <v>5.8377149999999993</v>
      </c>
      <c r="H221" s="39">
        <f>SUM(G221:G222)</f>
        <v>13.401176499999998</v>
      </c>
      <c r="I221" s="40"/>
      <c r="J221" s="155">
        <v>0</v>
      </c>
    </row>
    <row r="222" spans="1:10" ht="15" hidden="1" thickBot="1" x14ac:dyDescent="0.35">
      <c r="A222" s="229"/>
      <c r="B222" s="224"/>
      <c r="C222" s="36" t="s">
        <v>68</v>
      </c>
      <c r="D222" s="36" t="s">
        <v>12</v>
      </c>
      <c r="E222" s="37">
        <v>0.40100000000000002</v>
      </c>
      <c r="F222" s="31">
        <v>18.861499999999999</v>
      </c>
      <c r="G222" s="34">
        <f t="shared" si="3"/>
        <v>7.5634614999999998</v>
      </c>
      <c r="H222" s="35"/>
      <c r="I222" s="31"/>
      <c r="J222" s="155">
        <v>0</v>
      </c>
    </row>
    <row r="223" spans="1:10" ht="15" hidden="1" thickBot="1" x14ac:dyDescent="0.35">
      <c r="A223" s="230"/>
      <c r="B223" s="225"/>
      <c r="C223" s="36"/>
      <c r="D223" s="36"/>
      <c r="E223" s="37"/>
      <c r="F223" s="31" t="s">
        <v>560</v>
      </c>
      <c r="G223" s="31" t="str">
        <f t="shared" si="3"/>
        <v/>
      </c>
      <c r="H223" s="35"/>
      <c r="I223" s="31"/>
      <c r="J223" s="155">
        <v>0</v>
      </c>
    </row>
    <row r="224" spans="1:10" ht="15" thickBot="1" x14ac:dyDescent="0.35">
      <c r="A224" s="242" t="s">
        <v>83</v>
      </c>
      <c r="B224" s="223" t="str">
        <f>INDEX(Orçamentária!A:B,MATCH(Composições!A224,Orçamentária!A:A,0),2)</f>
        <v>Retirada de entulhos</v>
      </c>
      <c r="C224" s="41"/>
      <c r="D224" s="26" t="str">
        <f>TRIM(INDEX(Orçamentária!C:C,MATCH(Composições!A224,Orçamentária!A:A,0),1))</f>
        <v>m3</v>
      </c>
      <c r="E224" s="27"/>
      <c r="F224" s="42" t="s">
        <v>560</v>
      </c>
      <c r="G224" s="28" t="str">
        <f t="shared" si="3"/>
        <v/>
      </c>
      <c r="H224" s="29"/>
      <c r="I224" s="30"/>
      <c r="J224" s="155">
        <v>139</v>
      </c>
    </row>
    <row r="225" spans="1:10" x14ac:dyDescent="0.3">
      <c r="A225" s="243"/>
      <c r="B225" s="224"/>
      <c r="C225" s="32"/>
      <c r="D225" s="32"/>
      <c r="E225" s="33"/>
      <c r="F225" s="43" t="s">
        <v>560</v>
      </c>
      <c r="G225" s="31" t="str">
        <f t="shared" si="3"/>
        <v/>
      </c>
      <c r="H225" s="35"/>
      <c r="I225" s="31"/>
      <c r="J225" s="155">
        <v>139</v>
      </c>
    </row>
    <row r="226" spans="1:10" x14ac:dyDescent="0.3">
      <c r="A226" s="243"/>
      <c r="B226" s="224"/>
      <c r="C226" s="36" t="s">
        <v>23</v>
      </c>
      <c r="D226" s="36" t="s">
        <v>12</v>
      </c>
      <c r="E226" s="37">
        <v>1</v>
      </c>
      <c r="F226" s="31">
        <v>14.968499999999999</v>
      </c>
      <c r="G226" s="34">
        <f t="shared" si="3"/>
        <v>14.968499999999999</v>
      </c>
      <c r="H226" s="39">
        <f>SUM(G226:G226)</f>
        <v>14.968499999999999</v>
      </c>
      <c r="I226" s="40"/>
      <c r="J226" s="155">
        <v>139</v>
      </c>
    </row>
    <row r="227" spans="1:10" ht="15" thickBot="1" x14ac:dyDescent="0.35">
      <c r="A227" s="243"/>
      <c r="B227" s="224"/>
      <c r="C227" s="36"/>
      <c r="D227" s="36"/>
      <c r="E227" s="37"/>
      <c r="F227" s="31" t="s">
        <v>560</v>
      </c>
      <c r="G227" s="31" t="str">
        <f t="shared" si="3"/>
        <v/>
      </c>
      <c r="H227" s="35"/>
      <c r="I227" s="31"/>
      <c r="J227" s="155">
        <v>139</v>
      </c>
    </row>
    <row r="228" spans="1:10" ht="15" hidden="1" thickBot="1" x14ac:dyDescent="0.35">
      <c r="A228" s="242" t="s">
        <v>84</v>
      </c>
      <c r="B228" s="223" t="e">
        <f>INDEX(#REF!,MATCH(Composições!A228,#REF!,0),2)</f>
        <v>#REF!</v>
      </c>
      <c r="C228" s="41"/>
      <c r="D228" s="26" t="e">
        <f>TRIM(INDEX(#REF!,MATCH(Composições!A228,#REF!,0),1))</f>
        <v>#REF!</v>
      </c>
      <c r="E228" s="27"/>
      <c r="F228" s="42" t="s">
        <v>560</v>
      </c>
      <c r="G228" s="28" t="str">
        <f t="shared" si="3"/>
        <v/>
      </c>
      <c r="H228" s="29"/>
      <c r="I228" s="30"/>
      <c r="J228" s="155">
        <v>0</v>
      </c>
    </row>
    <row r="229" spans="1:10" ht="15" hidden="1" thickBot="1" x14ac:dyDescent="0.35">
      <c r="A229" s="243"/>
      <c r="B229" s="224"/>
      <c r="C229" s="32"/>
      <c r="D229" s="32"/>
      <c r="E229" s="33"/>
      <c r="F229" s="43" t="s">
        <v>560</v>
      </c>
      <c r="G229" s="31" t="str">
        <f t="shared" si="3"/>
        <v/>
      </c>
      <c r="H229" s="35"/>
      <c r="I229" s="31"/>
      <c r="J229" s="155">
        <v>0</v>
      </c>
    </row>
    <row r="230" spans="1:10" ht="40.200000000000003" hidden="1" thickBot="1" x14ac:dyDescent="0.35">
      <c r="A230" s="243"/>
      <c r="B230" s="224"/>
      <c r="C230" s="36" t="s">
        <v>85</v>
      </c>
      <c r="D230" s="36" t="s">
        <v>86</v>
      </c>
      <c r="E230" s="37">
        <v>1</v>
      </c>
      <c r="F230" s="31">
        <v>3.8165</v>
      </c>
      <c r="G230" s="34">
        <f t="shared" si="3"/>
        <v>3.8165</v>
      </c>
      <c r="H230" s="39">
        <f>SUM(G230:G230)</f>
        <v>3.8165</v>
      </c>
      <c r="I230" s="40"/>
      <c r="J230" s="155">
        <v>0</v>
      </c>
    </row>
    <row r="231" spans="1:10" ht="15" hidden="1" thickBot="1" x14ac:dyDescent="0.35">
      <c r="A231" s="243"/>
      <c r="B231" s="224"/>
      <c r="C231" s="36"/>
      <c r="D231" s="36"/>
      <c r="E231" s="37"/>
      <c r="F231" s="31" t="s">
        <v>560</v>
      </c>
      <c r="G231" s="31" t="str">
        <f t="shared" si="3"/>
        <v/>
      </c>
      <c r="H231" s="35"/>
      <c r="I231" s="31"/>
      <c r="J231" s="155">
        <v>0</v>
      </c>
    </row>
    <row r="232" spans="1:10" ht="15" hidden="1" thickBot="1" x14ac:dyDescent="0.35">
      <c r="A232" s="226" t="s">
        <v>87</v>
      </c>
      <c r="B232" s="223" t="e">
        <f>INDEX(#REF!,MATCH(Composições!A232,#REF!,0),2)</f>
        <v>#REF!</v>
      </c>
      <c r="C232" s="41"/>
      <c r="D232" s="26" t="e">
        <f>TRIM(INDEX(#REF!,MATCH(Composições!A232,#REF!,0),1))</f>
        <v>#REF!</v>
      </c>
      <c r="E232" s="27"/>
      <c r="F232" s="42" t="s">
        <v>560</v>
      </c>
      <c r="G232" s="28" t="str">
        <f t="shared" si="3"/>
        <v/>
      </c>
      <c r="H232" s="29"/>
      <c r="I232" s="30"/>
      <c r="J232" s="155">
        <v>0</v>
      </c>
    </row>
    <row r="233" spans="1:10" ht="15" hidden="1" thickBot="1" x14ac:dyDescent="0.35">
      <c r="A233" s="229"/>
      <c r="B233" s="224"/>
      <c r="C233" s="32"/>
      <c r="D233" s="32"/>
      <c r="E233" s="33"/>
      <c r="F233" s="43" t="s">
        <v>560</v>
      </c>
      <c r="G233" s="31" t="str">
        <f t="shared" si="3"/>
        <v/>
      </c>
      <c r="H233" s="35"/>
      <c r="I233" s="31"/>
      <c r="J233" s="155">
        <v>0</v>
      </c>
    </row>
    <row r="234" spans="1:10" ht="40.200000000000003" hidden="1" thickBot="1" x14ac:dyDescent="0.35">
      <c r="A234" s="229"/>
      <c r="B234" s="224"/>
      <c r="C234" s="36" t="s">
        <v>2048</v>
      </c>
      <c r="D234" s="47" t="s">
        <v>88</v>
      </c>
      <c r="E234" s="37">
        <v>1</v>
      </c>
      <c r="F234" s="31">
        <v>11.475</v>
      </c>
      <c r="G234" s="31">
        <f t="shared" si="3"/>
        <v>11.475</v>
      </c>
      <c r="H234" s="39">
        <f>SUM(G234:G234)</f>
        <v>11.475</v>
      </c>
      <c r="I234" s="40"/>
      <c r="J234" s="155">
        <v>0</v>
      </c>
    </row>
    <row r="235" spans="1:10" ht="15" hidden="1" thickBot="1" x14ac:dyDescent="0.35">
      <c r="A235" s="230"/>
      <c r="B235" s="225"/>
      <c r="C235" s="36"/>
      <c r="D235" s="36"/>
      <c r="E235" s="37"/>
      <c r="F235" s="31" t="s">
        <v>560</v>
      </c>
      <c r="G235" s="31" t="str">
        <f t="shared" si="3"/>
        <v/>
      </c>
      <c r="H235" s="35"/>
      <c r="I235" s="31"/>
      <c r="J235" s="155">
        <v>0</v>
      </c>
    </row>
    <row r="236" spans="1:10" ht="15" hidden="1" thickBot="1" x14ac:dyDescent="0.35">
      <c r="A236" s="242" t="s">
        <v>89</v>
      </c>
      <c r="B236" s="223" t="e">
        <f>INDEX(#REF!,MATCH(Composições!A236,#REF!,0),2)</f>
        <v>#REF!</v>
      </c>
      <c r="C236" s="41"/>
      <c r="D236" s="26" t="e">
        <f>TRIM(INDEX(#REF!,MATCH(Composições!A236,#REF!,0),1))</f>
        <v>#REF!</v>
      </c>
      <c r="E236" s="27"/>
      <c r="F236" s="42" t="s">
        <v>560</v>
      </c>
      <c r="G236" s="28" t="str">
        <f t="shared" si="3"/>
        <v/>
      </c>
      <c r="H236" s="29"/>
      <c r="I236" s="30"/>
      <c r="J236" s="155">
        <v>0</v>
      </c>
    </row>
    <row r="237" spans="1:10" ht="15" hidden="1" thickBot="1" x14ac:dyDescent="0.35">
      <c r="A237" s="243"/>
      <c r="B237" s="224"/>
      <c r="C237" s="32"/>
      <c r="D237" s="32"/>
      <c r="E237" s="33"/>
      <c r="F237" s="43" t="s">
        <v>560</v>
      </c>
      <c r="G237" s="31" t="str">
        <f t="shared" si="3"/>
        <v/>
      </c>
      <c r="H237" s="35"/>
      <c r="I237" s="31"/>
      <c r="J237" s="155">
        <v>0</v>
      </c>
    </row>
    <row r="238" spans="1:10" ht="27" hidden="1" thickBot="1" x14ac:dyDescent="0.35">
      <c r="A238" s="243"/>
      <c r="B238" s="224"/>
      <c r="C238" s="36" t="s">
        <v>90</v>
      </c>
      <c r="D238" s="36" t="s">
        <v>91</v>
      </c>
      <c r="E238" s="37">
        <v>0.01</v>
      </c>
      <c r="F238" s="31">
        <v>502.12049999999999</v>
      </c>
      <c r="G238" s="34">
        <f t="shared" si="3"/>
        <v>5.0212050000000001</v>
      </c>
      <c r="H238" s="39">
        <f>SUM(G238:G238)</f>
        <v>5.0212050000000001</v>
      </c>
      <c r="I238" s="40"/>
      <c r="J238" s="155">
        <v>0</v>
      </c>
    </row>
    <row r="239" spans="1:10" ht="15" hidden="1" thickBot="1" x14ac:dyDescent="0.35">
      <c r="A239" s="243"/>
      <c r="B239" s="224"/>
      <c r="C239" s="36"/>
      <c r="D239" s="36"/>
      <c r="E239" s="37"/>
      <c r="F239" s="31" t="s">
        <v>560</v>
      </c>
      <c r="G239" s="31" t="str">
        <f t="shared" si="3"/>
        <v/>
      </c>
      <c r="H239" s="35"/>
      <c r="I239" s="31"/>
      <c r="J239" s="155">
        <v>0</v>
      </c>
    </row>
    <row r="240" spans="1:10" ht="15" hidden="1" thickBot="1" x14ac:dyDescent="0.35">
      <c r="A240" s="226" t="s">
        <v>92</v>
      </c>
      <c r="B240" s="223" t="e">
        <f>INDEX(#REF!,MATCH(Composições!A240,#REF!,0),2)</f>
        <v>#REF!</v>
      </c>
      <c r="C240" s="41"/>
      <c r="D240" s="26" t="e">
        <f>TRIM(INDEX(#REF!,MATCH(Composições!A240,#REF!,0),1))</f>
        <v>#REF!</v>
      </c>
      <c r="E240" s="27"/>
      <c r="F240" s="49" t="s">
        <v>560</v>
      </c>
      <c r="G240" s="28" t="str">
        <f t="shared" si="3"/>
        <v/>
      </c>
      <c r="H240" s="29"/>
      <c r="I240" s="30"/>
      <c r="J240" s="155">
        <v>0</v>
      </c>
    </row>
    <row r="241" spans="1:10" ht="15" hidden="1" thickBot="1" x14ac:dyDescent="0.35">
      <c r="A241" s="229"/>
      <c r="B241" s="224"/>
      <c r="C241" s="32"/>
      <c r="D241" s="32"/>
      <c r="E241" s="33"/>
      <c r="F241" s="31" t="s">
        <v>560</v>
      </c>
      <c r="G241" s="31" t="str">
        <f t="shared" si="3"/>
        <v/>
      </c>
      <c r="H241" s="35"/>
      <c r="I241" s="31"/>
      <c r="J241" s="155">
        <v>0</v>
      </c>
    </row>
    <row r="242" spans="1:10" ht="15" hidden="1" thickBot="1" x14ac:dyDescent="0.35">
      <c r="A242" s="229"/>
      <c r="B242" s="224"/>
      <c r="C242" s="36" t="s">
        <v>23</v>
      </c>
      <c r="D242" s="36" t="s">
        <v>12</v>
      </c>
      <c r="E242" s="37">
        <v>0.15</v>
      </c>
      <c r="F242" s="31">
        <v>14.968499999999999</v>
      </c>
      <c r="G242" s="31">
        <f t="shared" si="3"/>
        <v>2.2452749999999999</v>
      </c>
      <c r="H242" s="39">
        <f>SUM(G242:G246)</f>
        <v>21.173925000000001</v>
      </c>
      <c r="I242" s="40"/>
      <c r="J242" s="155">
        <v>0</v>
      </c>
    </row>
    <row r="243" spans="1:10" ht="15" hidden="1" thickBot="1" x14ac:dyDescent="0.35">
      <c r="A243" s="229"/>
      <c r="B243" s="224"/>
      <c r="C243" s="36" t="s">
        <v>78</v>
      </c>
      <c r="D243" s="36" t="s">
        <v>12</v>
      </c>
      <c r="E243" s="37">
        <v>0.3</v>
      </c>
      <c r="F243" s="31">
        <v>20.128</v>
      </c>
      <c r="G243" s="31">
        <f t="shared" si="3"/>
        <v>6.0384000000000002</v>
      </c>
      <c r="H243" s="35"/>
      <c r="I243" s="31"/>
      <c r="J243" s="155">
        <v>0</v>
      </c>
    </row>
    <row r="244" spans="1:10" ht="27" hidden="1" thickBot="1" x14ac:dyDescent="0.35">
      <c r="A244" s="229"/>
      <c r="B244" s="224"/>
      <c r="C244" s="36" t="s">
        <v>2034</v>
      </c>
      <c r="D244" s="36" t="s">
        <v>93</v>
      </c>
      <c r="E244" s="37">
        <v>1.5</v>
      </c>
      <c r="F244" s="34">
        <v>6.1624999999999996</v>
      </c>
      <c r="G244" s="31">
        <f t="shared" si="3"/>
        <v>9.2437499999999986</v>
      </c>
      <c r="H244" s="35"/>
      <c r="I244" s="31"/>
      <c r="J244" s="155">
        <v>0</v>
      </c>
    </row>
    <row r="245" spans="1:10" ht="15" hidden="1" thickBot="1" x14ac:dyDescent="0.35">
      <c r="A245" s="229"/>
      <c r="B245" s="224"/>
      <c r="C245" s="36" t="s">
        <v>94</v>
      </c>
      <c r="D245" s="36" t="s">
        <v>42</v>
      </c>
      <c r="E245" s="37">
        <v>0.1</v>
      </c>
      <c r="F245" s="34">
        <v>16.914999999999999</v>
      </c>
      <c r="G245" s="31">
        <f t="shared" si="3"/>
        <v>1.6915</v>
      </c>
      <c r="H245" s="35"/>
      <c r="I245" s="31"/>
      <c r="J245" s="155">
        <v>0</v>
      </c>
    </row>
    <row r="246" spans="1:10" ht="27" hidden="1" thickBot="1" x14ac:dyDescent="0.35">
      <c r="A246" s="229"/>
      <c r="B246" s="224"/>
      <c r="C246" s="36" t="s">
        <v>1844</v>
      </c>
      <c r="D246" s="36" t="s">
        <v>93</v>
      </c>
      <c r="E246" s="37">
        <v>1.1499999999999999</v>
      </c>
      <c r="F246" s="34">
        <v>1.7</v>
      </c>
      <c r="G246" s="31">
        <f t="shared" si="3"/>
        <v>1.9549999999999998</v>
      </c>
      <c r="H246" s="35"/>
      <c r="I246" s="31"/>
      <c r="J246" s="155">
        <v>0</v>
      </c>
    </row>
    <row r="247" spans="1:10" ht="15" hidden="1" thickBot="1" x14ac:dyDescent="0.35">
      <c r="A247" s="230"/>
      <c r="B247" s="225"/>
      <c r="C247" s="36"/>
      <c r="D247" s="36"/>
      <c r="E247" s="37"/>
      <c r="F247" s="31" t="s">
        <v>560</v>
      </c>
      <c r="G247" s="31" t="str">
        <f t="shared" si="3"/>
        <v/>
      </c>
      <c r="H247" s="35"/>
      <c r="I247" s="31"/>
      <c r="J247" s="155">
        <v>0</v>
      </c>
    </row>
    <row r="248" spans="1:10" ht="15" thickBot="1" x14ac:dyDescent="0.35">
      <c r="A248" s="226" t="s">
        <v>96</v>
      </c>
      <c r="B248" s="223" t="str">
        <f>INDEX(Orçamentária!A:B,MATCH(Composições!A248,Orçamentária!A:A,0),2)</f>
        <v>Tapume</v>
      </c>
      <c r="C248" s="41"/>
      <c r="D248" s="26" t="str">
        <f>TRIM(INDEX(Orçamentária!C:C,MATCH(Composições!A248,Orçamentária!A:A,0),1))</f>
        <v>m2</v>
      </c>
      <c r="E248" s="27"/>
      <c r="F248" s="42" t="s">
        <v>560</v>
      </c>
      <c r="G248" s="28" t="str">
        <f t="shared" si="3"/>
        <v/>
      </c>
      <c r="H248" s="29"/>
      <c r="I248" s="30"/>
      <c r="J248" s="155">
        <v>460</v>
      </c>
    </row>
    <row r="249" spans="1:10" x14ac:dyDescent="0.3">
      <c r="A249" s="229"/>
      <c r="B249" s="224"/>
      <c r="C249" s="32"/>
      <c r="D249" s="32"/>
      <c r="E249" s="33"/>
      <c r="F249" s="43" t="s">
        <v>560</v>
      </c>
      <c r="G249" s="31" t="str">
        <f t="shared" si="3"/>
        <v/>
      </c>
      <c r="H249" s="35"/>
      <c r="I249" s="31"/>
      <c r="J249" s="155">
        <v>460</v>
      </c>
    </row>
    <row r="250" spans="1:10" x14ac:dyDescent="0.3">
      <c r="A250" s="229"/>
      <c r="B250" s="224"/>
      <c r="C250" s="36" t="s">
        <v>78</v>
      </c>
      <c r="D250" s="36" t="s">
        <v>12</v>
      </c>
      <c r="E250" s="37">
        <v>0.4</v>
      </c>
      <c r="F250" s="31">
        <v>20.128</v>
      </c>
      <c r="G250" s="31">
        <f t="shared" si="3"/>
        <v>8.0511999999999997</v>
      </c>
      <c r="H250" s="39">
        <f>SUM(G250:G261)</f>
        <v>76.551348499999989</v>
      </c>
      <c r="I250" s="40"/>
      <c r="J250" s="155">
        <v>460</v>
      </c>
    </row>
    <row r="251" spans="1:10" x14ac:dyDescent="0.3">
      <c r="A251" s="229"/>
      <c r="B251" s="224"/>
      <c r="C251" s="36" t="s">
        <v>23</v>
      </c>
      <c r="D251" s="36" t="s">
        <v>12</v>
      </c>
      <c r="E251" s="37">
        <v>0.4</v>
      </c>
      <c r="F251" s="31">
        <v>14.968499999999999</v>
      </c>
      <c r="G251" s="31">
        <f t="shared" si="3"/>
        <v>5.9874000000000001</v>
      </c>
      <c r="H251" s="35"/>
      <c r="I251" s="31"/>
      <c r="J251" s="155">
        <v>460</v>
      </c>
    </row>
    <row r="252" spans="1:10" x14ac:dyDescent="0.3">
      <c r="A252" s="229"/>
      <c r="B252" s="224"/>
      <c r="C252" s="36" t="s">
        <v>97</v>
      </c>
      <c r="D252" s="36" t="s">
        <v>95</v>
      </c>
      <c r="E252" s="37">
        <v>1.1000000000000001</v>
      </c>
      <c r="F252" s="31">
        <v>15.911999999999999</v>
      </c>
      <c r="G252" s="31">
        <f t="shared" si="3"/>
        <v>17.5032</v>
      </c>
      <c r="H252" s="35"/>
      <c r="I252" s="31"/>
      <c r="J252" s="155">
        <v>460</v>
      </c>
    </row>
    <row r="253" spans="1:10" ht="26.4" x14ac:dyDescent="0.3">
      <c r="A253" s="229"/>
      <c r="B253" s="224"/>
      <c r="C253" s="36" t="s">
        <v>2034</v>
      </c>
      <c r="D253" s="36" t="s">
        <v>93</v>
      </c>
      <c r="E253" s="37">
        <v>1.6</v>
      </c>
      <c r="F253" s="34">
        <v>6.1624999999999996</v>
      </c>
      <c r="G253" s="31">
        <f t="shared" si="3"/>
        <v>9.86</v>
      </c>
      <c r="H253" s="35"/>
      <c r="I253" s="31"/>
      <c r="J253" s="155">
        <v>460</v>
      </c>
    </row>
    <row r="254" spans="1:10" ht="26.4" x14ac:dyDescent="0.3">
      <c r="A254" s="229"/>
      <c r="B254" s="224"/>
      <c r="C254" s="36" t="s">
        <v>2062</v>
      </c>
      <c r="D254" s="36" t="s">
        <v>93</v>
      </c>
      <c r="E254" s="37">
        <v>1.65</v>
      </c>
      <c r="F254" s="34">
        <v>7.4629999999999992</v>
      </c>
      <c r="G254" s="31">
        <f t="shared" si="3"/>
        <v>12.313949999999998</v>
      </c>
      <c r="H254" s="35"/>
      <c r="I254" s="31"/>
      <c r="J254" s="155">
        <v>460</v>
      </c>
    </row>
    <row r="255" spans="1:10" ht="26.4" x14ac:dyDescent="0.3">
      <c r="A255" s="229"/>
      <c r="B255" s="224"/>
      <c r="C255" s="36" t="s">
        <v>2065</v>
      </c>
      <c r="D255" s="36" t="s">
        <v>93</v>
      </c>
      <c r="E255" s="37">
        <v>0.5</v>
      </c>
      <c r="F255" s="34">
        <v>21.819500000000001</v>
      </c>
      <c r="G255" s="31">
        <f t="shared" si="3"/>
        <v>10.909750000000001</v>
      </c>
      <c r="H255" s="35"/>
      <c r="I255" s="31"/>
      <c r="J255" s="155">
        <v>460</v>
      </c>
    </row>
    <row r="256" spans="1:10" x14ac:dyDescent="0.3">
      <c r="A256" s="229"/>
      <c r="B256" s="224"/>
      <c r="C256" s="36" t="s">
        <v>99</v>
      </c>
      <c r="D256" s="36" t="s">
        <v>42</v>
      </c>
      <c r="E256" s="37">
        <v>0.1</v>
      </c>
      <c r="F256" s="34">
        <v>17.203999999999997</v>
      </c>
      <c r="G256" s="31">
        <f t="shared" si="3"/>
        <v>1.7203999999999997</v>
      </c>
      <c r="H256" s="35"/>
      <c r="I256" s="31"/>
      <c r="J256" s="155">
        <v>460</v>
      </c>
    </row>
    <row r="257" spans="1:10" x14ac:dyDescent="0.3">
      <c r="A257" s="229"/>
      <c r="B257" s="224"/>
      <c r="C257" s="36" t="s">
        <v>100</v>
      </c>
      <c r="D257" s="36" t="s">
        <v>12</v>
      </c>
      <c r="E257" s="37">
        <v>1.5E-3</v>
      </c>
      <c r="F257" s="34">
        <v>16.949000000000002</v>
      </c>
      <c r="G257" s="31">
        <f t="shared" si="3"/>
        <v>2.5423500000000002E-2</v>
      </c>
      <c r="H257" s="35"/>
      <c r="I257" s="31"/>
      <c r="J257" s="155">
        <v>460</v>
      </c>
    </row>
    <row r="258" spans="1:10" x14ac:dyDescent="0.3">
      <c r="A258" s="229"/>
      <c r="B258" s="224"/>
      <c r="C258" s="36" t="s">
        <v>101</v>
      </c>
      <c r="D258" s="36" t="s">
        <v>12</v>
      </c>
      <c r="E258" s="37">
        <v>0.4</v>
      </c>
      <c r="F258" s="34">
        <v>21.156500000000001</v>
      </c>
      <c r="G258" s="31">
        <f t="shared" si="3"/>
        <v>8.4626000000000001</v>
      </c>
      <c r="H258" s="35"/>
      <c r="I258" s="31"/>
      <c r="J258" s="155">
        <v>460</v>
      </c>
    </row>
    <row r="259" spans="1:10" x14ac:dyDescent="0.3">
      <c r="A259" s="229"/>
      <c r="B259" s="224"/>
      <c r="C259" s="36" t="s">
        <v>102</v>
      </c>
      <c r="D259" s="36" t="s">
        <v>103</v>
      </c>
      <c r="E259" s="37">
        <v>2.2499999999999999E-2</v>
      </c>
      <c r="F259" s="34">
        <v>17.238</v>
      </c>
      <c r="G259" s="31">
        <f t="shared" si="3"/>
        <v>0.38785499999999995</v>
      </c>
      <c r="H259" s="35"/>
      <c r="I259" s="31"/>
      <c r="J259" s="155">
        <v>460</v>
      </c>
    </row>
    <row r="260" spans="1:10" x14ac:dyDescent="0.3">
      <c r="A260" s="229"/>
      <c r="B260" s="224"/>
      <c r="C260" s="36" t="s">
        <v>104</v>
      </c>
      <c r="D260" s="36" t="s">
        <v>42</v>
      </c>
      <c r="E260" s="37">
        <v>0.6</v>
      </c>
      <c r="F260" s="34">
        <v>1.3345</v>
      </c>
      <c r="G260" s="31">
        <f t="shared" si="3"/>
        <v>0.80069999999999997</v>
      </c>
      <c r="H260" s="35"/>
      <c r="I260" s="31"/>
      <c r="J260" s="155">
        <v>460</v>
      </c>
    </row>
    <row r="261" spans="1:10" x14ac:dyDescent="0.3">
      <c r="A261" s="229"/>
      <c r="B261" s="224"/>
      <c r="C261" s="36" t="s">
        <v>105</v>
      </c>
      <c r="D261" s="36" t="s">
        <v>42</v>
      </c>
      <c r="E261" s="37">
        <v>1.4999999999999999E-2</v>
      </c>
      <c r="F261" s="34">
        <v>35.257999999999996</v>
      </c>
      <c r="G261" s="31">
        <f t="shared" si="3"/>
        <v>0.52886999999999995</v>
      </c>
      <c r="H261" s="35"/>
      <c r="I261" s="31"/>
      <c r="J261" s="155">
        <v>460</v>
      </c>
    </row>
    <row r="262" spans="1:10" ht="15" thickBot="1" x14ac:dyDescent="0.35">
      <c r="A262" s="230"/>
      <c r="B262" s="225"/>
      <c r="C262" s="36"/>
      <c r="D262" s="36"/>
      <c r="E262" s="37"/>
      <c r="F262" s="31" t="s">
        <v>560</v>
      </c>
      <c r="G262" s="31" t="str">
        <f t="shared" ref="G262:G325" si="4">IF(ISNUMBER(F262),E262*F262,"")</f>
        <v/>
      </c>
      <c r="H262" s="35"/>
      <c r="I262" s="31"/>
      <c r="J262" s="155">
        <v>460</v>
      </c>
    </row>
    <row r="263" spans="1:10" ht="15" hidden="1" thickBot="1" x14ac:dyDescent="0.35">
      <c r="A263" s="226" t="s">
        <v>106</v>
      </c>
      <c r="B263" s="223" t="e">
        <f>INDEX(#REF!,MATCH(Composições!A263,#REF!,0),2)</f>
        <v>#REF!</v>
      </c>
      <c r="C263" s="41"/>
      <c r="D263" s="26" t="e">
        <f>TRIM(INDEX(#REF!,MATCH(Composições!A263,#REF!,0),1))</f>
        <v>#REF!</v>
      </c>
      <c r="E263" s="27"/>
      <c r="F263" s="42" t="s">
        <v>560</v>
      </c>
      <c r="G263" s="28" t="str">
        <f t="shared" si="4"/>
        <v/>
      </c>
      <c r="H263" s="29"/>
      <c r="I263" s="30"/>
      <c r="J263" s="155">
        <v>0</v>
      </c>
    </row>
    <row r="264" spans="1:10" ht="15" hidden="1" thickBot="1" x14ac:dyDescent="0.35">
      <c r="A264" s="229"/>
      <c r="B264" s="224"/>
      <c r="C264" s="32"/>
      <c r="D264" s="32"/>
      <c r="E264" s="33"/>
      <c r="F264" s="43" t="s">
        <v>560</v>
      </c>
      <c r="G264" s="31" t="str">
        <f t="shared" si="4"/>
        <v/>
      </c>
      <c r="H264" s="35"/>
      <c r="I264" s="31"/>
      <c r="J264" s="155">
        <v>0</v>
      </c>
    </row>
    <row r="265" spans="1:10" ht="15" hidden="1" thickBot="1" x14ac:dyDescent="0.35">
      <c r="A265" s="229"/>
      <c r="B265" s="224"/>
      <c r="C265" s="36" t="s">
        <v>23</v>
      </c>
      <c r="D265" s="50" t="s">
        <v>12</v>
      </c>
      <c r="E265" s="37">
        <v>2.5000000000000001E-2</v>
      </c>
      <c r="F265" s="31">
        <v>14.968499999999999</v>
      </c>
      <c r="G265" s="31">
        <f t="shared" si="4"/>
        <v>0.3742125</v>
      </c>
      <c r="H265" s="39">
        <f>SUM(G265:G266)</f>
        <v>1.826157</v>
      </c>
      <c r="I265" s="40"/>
      <c r="J265" s="155">
        <v>0</v>
      </c>
    </row>
    <row r="266" spans="1:10" ht="15" hidden="1" thickBot="1" x14ac:dyDescent="0.35">
      <c r="A266" s="229"/>
      <c r="B266" s="224"/>
      <c r="C266" s="36" t="s">
        <v>23</v>
      </c>
      <c r="D266" s="50" t="s">
        <v>12</v>
      </c>
      <c r="E266" s="37">
        <v>9.7000000000000003E-2</v>
      </c>
      <c r="F266" s="31">
        <v>14.968499999999999</v>
      </c>
      <c r="G266" s="31">
        <f t="shared" si="4"/>
        <v>1.4519445</v>
      </c>
      <c r="H266" s="35"/>
      <c r="I266" s="40"/>
      <c r="J266" s="155">
        <v>0</v>
      </c>
    </row>
    <row r="267" spans="1:10" ht="15" hidden="1" thickBot="1" x14ac:dyDescent="0.35">
      <c r="A267" s="230"/>
      <c r="B267" s="225"/>
      <c r="C267" s="36"/>
      <c r="D267" s="36"/>
      <c r="E267" s="37"/>
      <c r="F267" s="31" t="s">
        <v>560</v>
      </c>
      <c r="G267" s="31" t="str">
        <f t="shared" si="4"/>
        <v/>
      </c>
      <c r="H267" s="35"/>
      <c r="I267" s="31"/>
      <c r="J267" s="155">
        <v>0</v>
      </c>
    </row>
    <row r="268" spans="1:10" ht="15" hidden="1" thickBot="1" x14ac:dyDescent="0.35">
      <c r="A268" s="226" t="s">
        <v>107</v>
      </c>
      <c r="B268" s="223" t="e">
        <f>INDEX(#REF!,MATCH(Composições!A268,#REF!,0),2)</f>
        <v>#REF!</v>
      </c>
      <c r="C268" s="41"/>
      <c r="D268" s="26" t="e">
        <f>TRIM(INDEX(#REF!,MATCH(Composições!A268,#REF!,0),1))</f>
        <v>#REF!</v>
      </c>
      <c r="E268" s="27"/>
      <c r="F268" s="42" t="s">
        <v>560</v>
      </c>
      <c r="G268" s="28" t="str">
        <f t="shared" si="4"/>
        <v/>
      </c>
      <c r="H268" s="29"/>
      <c r="I268" s="30"/>
      <c r="J268" s="155">
        <v>0</v>
      </c>
    </row>
    <row r="269" spans="1:10" ht="15" hidden="1" thickBot="1" x14ac:dyDescent="0.35">
      <c r="A269" s="229"/>
      <c r="B269" s="224"/>
      <c r="C269" s="32"/>
      <c r="D269" s="32"/>
      <c r="E269" s="33"/>
      <c r="F269" s="43" t="s">
        <v>560</v>
      </c>
      <c r="G269" s="31" t="str">
        <f t="shared" si="4"/>
        <v/>
      </c>
      <c r="H269" s="35"/>
      <c r="I269" s="31"/>
      <c r="J269" s="155">
        <v>0</v>
      </c>
    </row>
    <row r="270" spans="1:10" ht="15" hidden="1" thickBot="1" x14ac:dyDescent="0.35">
      <c r="A270" s="229"/>
      <c r="B270" s="224"/>
      <c r="C270" s="36" t="s">
        <v>74</v>
      </c>
      <c r="D270" s="36" t="s">
        <v>12</v>
      </c>
      <c r="E270" s="37">
        <v>3.4000000000000002E-2</v>
      </c>
      <c r="F270" s="31">
        <v>15.928999999999998</v>
      </c>
      <c r="G270" s="31">
        <f t="shared" si="4"/>
        <v>0.54158600000000001</v>
      </c>
      <c r="H270" s="39">
        <f>SUM(G270:G274)</f>
        <v>15.039042528321499</v>
      </c>
      <c r="I270" s="40"/>
      <c r="J270" s="155">
        <v>0</v>
      </c>
    </row>
    <row r="271" spans="1:10" ht="15" hidden="1" thickBot="1" x14ac:dyDescent="0.35">
      <c r="A271" s="229"/>
      <c r="B271" s="224"/>
      <c r="C271" s="36" t="s">
        <v>30</v>
      </c>
      <c r="D271" s="36" t="s">
        <v>12</v>
      </c>
      <c r="E271" s="37">
        <v>0.216</v>
      </c>
      <c r="F271" s="31">
        <v>20.484999999999999</v>
      </c>
      <c r="G271" s="31">
        <f t="shared" si="4"/>
        <v>4.42476</v>
      </c>
      <c r="H271" s="35"/>
      <c r="I271" s="31"/>
      <c r="J271" s="155">
        <v>0</v>
      </c>
    </row>
    <row r="272" spans="1:10" ht="15" hidden="1" thickBot="1" x14ac:dyDescent="0.35">
      <c r="A272" s="229"/>
      <c r="B272" s="224"/>
      <c r="C272" s="36" t="s">
        <v>108</v>
      </c>
      <c r="D272" s="36" t="s">
        <v>12</v>
      </c>
      <c r="E272" s="37">
        <v>5.5E-2</v>
      </c>
      <c r="F272" s="31">
        <v>15.4955</v>
      </c>
      <c r="G272" s="31">
        <f t="shared" si="4"/>
        <v>0.85225249999999997</v>
      </c>
      <c r="H272" s="35"/>
      <c r="I272" s="31"/>
      <c r="J272" s="155">
        <v>0</v>
      </c>
    </row>
    <row r="273" spans="1:10" ht="15" hidden="1" thickBot="1" x14ac:dyDescent="0.35">
      <c r="A273" s="229"/>
      <c r="B273" s="224"/>
      <c r="C273" s="36" t="s">
        <v>39</v>
      </c>
      <c r="D273" s="47" t="s">
        <v>12</v>
      </c>
      <c r="E273" s="37">
        <v>0.39100000000000001</v>
      </c>
      <c r="F273" s="31">
        <v>19.898499999999999</v>
      </c>
      <c r="G273" s="31">
        <f t="shared" si="4"/>
        <v>7.7803135000000001</v>
      </c>
      <c r="H273" s="35"/>
      <c r="I273" s="31"/>
      <c r="J273" s="155">
        <v>0</v>
      </c>
    </row>
    <row r="274" spans="1:10" ht="27" hidden="1" thickBot="1" x14ac:dyDescent="0.35">
      <c r="A274" s="229"/>
      <c r="B274" s="224"/>
      <c r="C274" s="36" t="s">
        <v>109</v>
      </c>
      <c r="D274" s="36" t="s">
        <v>110</v>
      </c>
      <c r="E274" s="37">
        <v>3.0000000000000001E-3</v>
      </c>
      <c r="F274" s="34">
        <v>480.04350944049992</v>
      </c>
      <c r="G274" s="34">
        <f t="shared" si="4"/>
        <v>1.4401305283214998</v>
      </c>
      <c r="H274" s="35"/>
      <c r="I274" s="31"/>
      <c r="J274" s="155">
        <v>0</v>
      </c>
    </row>
    <row r="275" spans="1:10" ht="15" hidden="1" thickBot="1" x14ac:dyDescent="0.35">
      <c r="A275" s="230"/>
      <c r="B275" s="225"/>
      <c r="C275" s="36"/>
      <c r="D275" s="36"/>
      <c r="E275" s="37"/>
      <c r="F275" s="31" t="s">
        <v>560</v>
      </c>
      <c r="G275" s="31" t="str">
        <f t="shared" si="4"/>
        <v/>
      </c>
      <c r="H275" s="35"/>
      <c r="I275" s="31"/>
      <c r="J275" s="155">
        <v>0</v>
      </c>
    </row>
    <row r="276" spans="1:10" ht="15" thickBot="1" x14ac:dyDescent="0.35">
      <c r="A276" s="226" t="s">
        <v>111</v>
      </c>
      <c r="B276" s="223" t="str">
        <f>INDEX(Orçamentária!A:B,MATCH(Composições!A276,Orçamentária!A:A,0),2)</f>
        <v>Furo em concreto de 40mm até 75mm de diâmetro</v>
      </c>
      <c r="C276" s="41"/>
      <c r="D276" s="26" t="str">
        <f>TRIM(INDEX(Orçamentária!C:C,MATCH(Composições!A276,Orçamentária!A:A,0),1))</f>
        <v>un</v>
      </c>
      <c r="E276" s="27"/>
      <c r="F276" s="42" t="s">
        <v>560</v>
      </c>
      <c r="G276" s="28" t="str">
        <f t="shared" si="4"/>
        <v/>
      </c>
      <c r="H276" s="29"/>
      <c r="I276" s="30"/>
      <c r="J276" s="155">
        <v>35</v>
      </c>
    </row>
    <row r="277" spans="1:10" x14ac:dyDescent="0.3">
      <c r="A277" s="229"/>
      <c r="B277" s="224"/>
      <c r="C277" s="32"/>
      <c r="D277" s="32"/>
      <c r="E277" s="33"/>
      <c r="F277" s="43" t="s">
        <v>560</v>
      </c>
      <c r="G277" s="31" t="str">
        <f t="shared" si="4"/>
        <v/>
      </c>
      <c r="H277" s="35"/>
      <c r="I277" s="31"/>
      <c r="J277" s="155">
        <v>35</v>
      </c>
    </row>
    <row r="278" spans="1:10" ht="26.4" x14ac:dyDescent="0.3">
      <c r="A278" s="229"/>
      <c r="B278" s="224"/>
      <c r="C278" s="36" t="s">
        <v>32</v>
      </c>
      <c r="D278" s="36" t="s">
        <v>33</v>
      </c>
      <c r="E278" s="37">
        <v>0.58699999999999997</v>
      </c>
      <c r="F278" s="34">
        <v>18.904</v>
      </c>
      <c r="G278" s="34">
        <f t="shared" si="4"/>
        <v>11.096648</v>
      </c>
      <c r="H278" s="39">
        <f>SUM(G278:G281)</f>
        <v>75.486493999999993</v>
      </c>
      <c r="I278" s="40"/>
      <c r="J278" s="155">
        <v>35</v>
      </c>
    </row>
    <row r="279" spans="1:10" ht="26.4" x14ac:dyDescent="0.3">
      <c r="A279" s="229"/>
      <c r="B279" s="224"/>
      <c r="C279" s="36" t="s">
        <v>34</v>
      </c>
      <c r="D279" s="36" t="s">
        <v>35</v>
      </c>
      <c r="E279" s="37">
        <v>1.29</v>
      </c>
      <c r="F279" s="34">
        <v>17.442</v>
      </c>
      <c r="G279" s="34">
        <f t="shared" si="4"/>
        <v>22.50018</v>
      </c>
      <c r="H279" s="35"/>
      <c r="I279" s="31"/>
      <c r="J279" s="155">
        <v>35</v>
      </c>
    </row>
    <row r="280" spans="1:10" x14ac:dyDescent="0.3">
      <c r="A280" s="229"/>
      <c r="B280" s="224"/>
      <c r="C280" s="36" t="s">
        <v>108</v>
      </c>
      <c r="D280" s="36" t="s">
        <v>12</v>
      </c>
      <c r="E280" s="37">
        <v>0.29299999999999998</v>
      </c>
      <c r="F280" s="31">
        <v>15.4955</v>
      </c>
      <c r="G280" s="34">
        <f t="shared" si="4"/>
        <v>4.5401815000000001</v>
      </c>
      <c r="H280" s="35"/>
      <c r="I280" s="31"/>
      <c r="J280" s="155">
        <v>35</v>
      </c>
    </row>
    <row r="281" spans="1:10" x14ac:dyDescent="0.3">
      <c r="A281" s="229"/>
      <c r="B281" s="224"/>
      <c r="C281" s="36" t="s">
        <v>39</v>
      </c>
      <c r="D281" s="47" t="s">
        <v>12</v>
      </c>
      <c r="E281" s="37">
        <v>1.877</v>
      </c>
      <c r="F281" s="31">
        <v>19.898499999999999</v>
      </c>
      <c r="G281" s="34">
        <f t="shared" si="4"/>
        <v>37.349484499999996</v>
      </c>
      <c r="H281" s="35"/>
      <c r="I281" s="31"/>
      <c r="J281" s="155">
        <v>35</v>
      </c>
    </row>
    <row r="282" spans="1:10" ht="15" thickBot="1" x14ac:dyDescent="0.35">
      <c r="A282" s="230"/>
      <c r="B282" s="225"/>
      <c r="C282" s="36"/>
      <c r="D282" s="36"/>
      <c r="E282" s="37"/>
      <c r="F282" s="31" t="s">
        <v>560</v>
      </c>
      <c r="G282" s="31" t="str">
        <f t="shared" si="4"/>
        <v/>
      </c>
      <c r="H282" s="35"/>
      <c r="I282" s="31"/>
      <c r="J282" s="155">
        <v>35</v>
      </c>
    </row>
    <row r="283" spans="1:10" ht="15" thickBot="1" x14ac:dyDescent="0.35">
      <c r="A283" s="226" t="s">
        <v>112</v>
      </c>
      <c r="B283" s="223" t="str">
        <f>INDEX(Orçamentária!A:B,MATCH(Composições!A283,Orçamentária!A:A,0),2)</f>
        <v>Furo em concreto para diâmetros maiores que 75mm</v>
      </c>
      <c r="C283" s="41"/>
      <c r="D283" s="26" t="str">
        <f>TRIM(INDEX(Orçamentária!C:C,MATCH(Composições!A283,Orçamentária!A:A,0),1))</f>
        <v>un</v>
      </c>
      <c r="E283" s="27"/>
      <c r="F283" s="42" t="s">
        <v>560</v>
      </c>
      <c r="G283" s="28" t="str">
        <f t="shared" si="4"/>
        <v/>
      </c>
      <c r="H283" s="29"/>
      <c r="I283" s="30"/>
      <c r="J283" s="155">
        <v>80</v>
      </c>
    </row>
    <row r="284" spans="1:10" x14ac:dyDescent="0.3">
      <c r="A284" s="229"/>
      <c r="B284" s="224"/>
      <c r="C284" s="32"/>
      <c r="D284" s="32"/>
      <c r="E284" s="33"/>
      <c r="F284" s="43" t="s">
        <v>560</v>
      </c>
      <c r="G284" s="31" t="str">
        <f t="shared" si="4"/>
        <v/>
      </c>
      <c r="H284" s="35"/>
      <c r="I284" s="31"/>
      <c r="J284" s="155">
        <v>80</v>
      </c>
    </row>
    <row r="285" spans="1:10" ht="26.4" x14ac:dyDescent="0.3">
      <c r="A285" s="229"/>
      <c r="B285" s="224"/>
      <c r="C285" s="36" t="s">
        <v>32</v>
      </c>
      <c r="D285" s="36" t="s">
        <v>33</v>
      </c>
      <c r="E285" s="37">
        <v>0.75</v>
      </c>
      <c r="F285" s="34">
        <v>18.904</v>
      </c>
      <c r="G285" s="34">
        <f t="shared" si="4"/>
        <v>14.178000000000001</v>
      </c>
      <c r="H285" s="39">
        <f>SUM(G285:G288)</f>
        <v>96.412490999999989</v>
      </c>
      <c r="I285" s="40"/>
      <c r="J285" s="155">
        <v>80</v>
      </c>
    </row>
    <row r="286" spans="1:10" ht="26.4" x14ac:dyDescent="0.3">
      <c r="A286" s="229"/>
      <c r="B286" s="224"/>
      <c r="C286" s="36" t="s">
        <v>34</v>
      </c>
      <c r="D286" s="36" t="s">
        <v>35</v>
      </c>
      <c r="E286" s="37">
        <v>1.647</v>
      </c>
      <c r="F286" s="34">
        <v>17.442</v>
      </c>
      <c r="G286" s="34">
        <f t="shared" si="4"/>
        <v>28.726974000000002</v>
      </c>
      <c r="H286" s="35"/>
      <c r="I286" s="31"/>
      <c r="J286" s="155">
        <v>80</v>
      </c>
    </row>
    <row r="287" spans="1:10" x14ac:dyDescent="0.3">
      <c r="A287" s="229"/>
      <c r="B287" s="224"/>
      <c r="C287" s="36" t="s">
        <v>108</v>
      </c>
      <c r="D287" s="36" t="s">
        <v>12</v>
      </c>
      <c r="E287" s="37">
        <v>0.375</v>
      </c>
      <c r="F287" s="31">
        <v>15.4955</v>
      </c>
      <c r="G287" s="34">
        <f t="shared" si="4"/>
        <v>5.8108124999999999</v>
      </c>
      <c r="H287" s="35"/>
      <c r="I287" s="31"/>
      <c r="J287" s="155">
        <v>80</v>
      </c>
    </row>
    <row r="288" spans="1:10" x14ac:dyDescent="0.3">
      <c r="A288" s="229"/>
      <c r="B288" s="224"/>
      <c r="C288" s="36" t="s">
        <v>39</v>
      </c>
      <c r="D288" s="47" t="s">
        <v>12</v>
      </c>
      <c r="E288" s="37">
        <v>2.3969999999999998</v>
      </c>
      <c r="F288" s="31">
        <v>19.898499999999999</v>
      </c>
      <c r="G288" s="34">
        <f t="shared" si="4"/>
        <v>47.696704499999996</v>
      </c>
      <c r="H288" s="35"/>
      <c r="I288" s="31"/>
      <c r="J288" s="155">
        <v>80</v>
      </c>
    </row>
    <row r="289" spans="1:10" ht="15" thickBot="1" x14ac:dyDescent="0.35">
      <c r="A289" s="230"/>
      <c r="B289" s="225"/>
      <c r="C289" s="36"/>
      <c r="D289" s="36"/>
      <c r="E289" s="37"/>
      <c r="F289" s="31" t="s">
        <v>560</v>
      </c>
      <c r="G289" s="31" t="str">
        <f t="shared" si="4"/>
        <v/>
      </c>
      <c r="H289" s="35"/>
      <c r="I289" s="31"/>
      <c r="J289" s="155">
        <v>80</v>
      </c>
    </row>
    <row r="290" spans="1:10" ht="15" thickBot="1" x14ac:dyDescent="0.35">
      <c r="A290" s="226" t="s">
        <v>113</v>
      </c>
      <c r="B290" s="223" t="str">
        <f>INDEX(Orçamentária!A:B,MATCH(Composições!A290,Orçamentária!A:A,0),2)</f>
        <v>Concreto virado em betoneira, fck = 15 MPa</v>
      </c>
      <c r="C290" s="41"/>
      <c r="D290" s="26" t="str">
        <f>TRIM(INDEX(Orçamentária!C:C,MATCH(Composições!A290,Orçamentária!A:A,0),1))</f>
        <v>m3</v>
      </c>
      <c r="E290" s="27"/>
      <c r="F290" s="42" t="s">
        <v>560</v>
      </c>
      <c r="G290" s="28" t="str">
        <f t="shared" si="4"/>
        <v/>
      </c>
      <c r="H290" s="29"/>
      <c r="I290" s="30"/>
      <c r="J290" s="155">
        <v>5.07</v>
      </c>
    </row>
    <row r="291" spans="1:10" x14ac:dyDescent="0.3">
      <c r="A291" s="229"/>
      <c r="B291" s="224"/>
      <c r="C291" s="32"/>
      <c r="D291" s="32"/>
      <c r="E291" s="33"/>
      <c r="F291" s="43" t="s">
        <v>560</v>
      </c>
      <c r="G291" s="31" t="str">
        <f t="shared" si="4"/>
        <v/>
      </c>
      <c r="H291" s="35"/>
      <c r="I291" s="31"/>
      <c r="J291" s="155">
        <v>5.07</v>
      </c>
    </row>
    <row r="292" spans="1:10" ht="26.4" x14ac:dyDescent="0.3">
      <c r="A292" s="229"/>
      <c r="B292" s="224"/>
      <c r="C292" s="36" t="s">
        <v>114</v>
      </c>
      <c r="D292" s="47" t="s">
        <v>110</v>
      </c>
      <c r="E292" s="37">
        <v>1</v>
      </c>
      <c r="F292" s="31">
        <v>158.874945</v>
      </c>
      <c r="G292" s="34">
        <f t="shared" si="4"/>
        <v>158.874945</v>
      </c>
      <c r="H292" s="39">
        <f>SUM(G292:G301)</f>
        <v>528.14415958159998</v>
      </c>
      <c r="I292" s="40"/>
      <c r="J292" s="155">
        <v>5.07</v>
      </c>
    </row>
    <row r="293" spans="1:10" x14ac:dyDescent="0.3">
      <c r="A293" s="229"/>
      <c r="B293" s="224"/>
      <c r="C293" s="36" t="s">
        <v>115</v>
      </c>
      <c r="D293" s="47" t="s">
        <v>110</v>
      </c>
      <c r="E293" s="37">
        <v>0.80500000000000005</v>
      </c>
      <c r="F293" s="34">
        <v>76.5</v>
      </c>
      <c r="G293" s="34">
        <f t="shared" si="4"/>
        <v>61.582500000000003</v>
      </c>
      <c r="H293" s="35"/>
      <c r="I293" s="31"/>
      <c r="J293" s="155">
        <v>5.07</v>
      </c>
    </row>
    <row r="294" spans="1:10" x14ac:dyDescent="0.3">
      <c r="A294" s="229"/>
      <c r="B294" s="224"/>
      <c r="C294" s="36" t="s">
        <v>116</v>
      </c>
      <c r="D294" s="47" t="s">
        <v>42</v>
      </c>
      <c r="E294" s="37">
        <v>273.06</v>
      </c>
      <c r="F294" s="34">
        <v>0.46750000000000003</v>
      </c>
      <c r="G294" s="34">
        <f t="shared" si="4"/>
        <v>127.65555000000001</v>
      </c>
      <c r="H294" s="35"/>
      <c r="I294" s="31"/>
      <c r="J294" s="155">
        <v>5.07</v>
      </c>
    </row>
    <row r="295" spans="1:10" x14ac:dyDescent="0.3">
      <c r="A295" s="229"/>
      <c r="B295" s="224"/>
      <c r="C295" s="36" t="s">
        <v>117</v>
      </c>
      <c r="D295" s="47" t="s">
        <v>110</v>
      </c>
      <c r="E295" s="37">
        <v>0.57899999999999996</v>
      </c>
      <c r="F295" s="34">
        <v>111.82599999999999</v>
      </c>
      <c r="G295" s="34">
        <f t="shared" si="4"/>
        <v>64.747253999999998</v>
      </c>
      <c r="H295" s="35"/>
      <c r="I295" s="31"/>
      <c r="J295" s="155">
        <v>5.07</v>
      </c>
    </row>
    <row r="296" spans="1:10" ht="26.4" x14ac:dyDescent="0.3">
      <c r="A296" s="229"/>
      <c r="B296" s="224"/>
      <c r="C296" s="36" t="s">
        <v>118</v>
      </c>
      <c r="D296" s="47" t="s">
        <v>12</v>
      </c>
      <c r="E296" s="37">
        <v>1.47</v>
      </c>
      <c r="F296" s="31">
        <v>15.147</v>
      </c>
      <c r="G296" s="34">
        <f t="shared" si="4"/>
        <v>22.266089999999998</v>
      </c>
      <c r="H296" s="35"/>
      <c r="I296" s="31"/>
      <c r="J296" s="155">
        <v>5.07</v>
      </c>
    </row>
    <row r="297" spans="1:10" x14ac:dyDescent="0.3">
      <c r="A297" s="229"/>
      <c r="B297" s="224"/>
      <c r="C297" s="36" t="s">
        <v>23</v>
      </c>
      <c r="D297" s="36" t="s">
        <v>12</v>
      </c>
      <c r="E297" s="37">
        <v>2.33</v>
      </c>
      <c r="F297" s="31">
        <v>14.968499999999999</v>
      </c>
      <c r="G297" s="34">
        <f t="shared" si="4"/>
        <v>34.876604999999998</v>
      </c>
      <c r="H297" s="35"/>
      <c r="I297" s="31"/>
      <c r="J297" s="155">
        <v>5.07</v>
      </c>
    </row>
    <row r="298" spans="1:10" ht="39.6" x14ac:dyDescent="0.3">
      <c r="A298" s="229"/>
      <c r="B298" s="224"/>
      <c r="C298" s="36" t="s">
        <v>119</v>
      </c>
      <c r="D298" s="47" t="s">
        <v>33</v>
      </c>
      <c r="E298" s="37">
        <v>0.76</v>
      </c>
      <c r="F298" s="34">
        <v>1.2324999999999999</v>
      </c>
      <c r="G298" s="34">
        <f t="shared" si="4"/>
        <v>0.93669999999999998</v>
      </c>
      <c r="H298" s="35"/>
      <c r="I298" s="31"/>
      <c r="J298" s="155">
        <v>5.07</v>
      </c>
    </row>
    <row r="299" spans="1:10" ht="39.6" x14ac:dyDescent="0.3">
      <c r="A299" s="229"/>
      <c r="B299" s="224"/>
      <c r="C299" s="36" t="s">
        <v>120</v>
      </c>
      <c r="D299" s="47" t="s">
        <v>35</v>
      </c>
      <c r="E299" s="37">
        <v>0.71</v>
      </c>
      <c r="F299" s="34">
        <v>0.27200000000000002</v>
      </c>
      <c r="G299" s="34">
        <f t="shared" si="4"/>
        <v>0.19312000000000001</v>
      </c>
      <c r="H299" s="35"/>
      <c r="I299" s="31"/>
      <c r="J299" s="155">
        <v>5.07</v>
      </c>
    </row>
    <row r="300" spans="1:10" ht="52.8" x14ac:dyDescent="0.3">
      <c r="A300" s="229"/>
      <c r="B300" s="224"/>
      <c r="C300" s="36" t="s">
        <v>1931</v>
      </c>
      <c r="D300" s="36" t="s">
        <v>122</v>
      </c>
      <c r="E300" s="37">
        <f>1*(E293+E295)</f>
        <v>1.3839999999999999</v>
      </c>
      <c r="F300" s="34">
        <v>5.4059098999999993</v>
      </c>
      <c r="G300" s="34">
        <f t="shared" si="4"/>
        <v>7.4817793015999987</v>
      </c>
      <c r="H300" s="35"/>
      <c r="I300" s="31"/>
      <c r="J300" s="155">
        <v>5.07</v>
      </c>
    </row>
    <row r="301" spans="1:10" ht="26.4" x14ac:dyDescent="0.3">
      <c r="A301" s="229"/>
      <c r="B301" s="224"/>
      <c r="C301" s="36" t="s">
        <v>123</v>
      </c>
      <c r="D301" s="47" t="s">
        <v>124</v>
      </c>
      <c r="E301" s="37">
        <f>(E293+E295)*20</f>
        <v>27.68</v>
      </c>
      <c r="F301" s="34">
        <v>1.7893647499999998</v>
      </c>
      <c r="G301" s="34">
        <f t="shared" si="4"/>
        <v>49.529616279999992</v>
      </c>
      <c r="H301" s="35"/>
      <c r="I301" s="31"/>
      <c r="J301" s="155">
        <v>5.07</v>
      </c>
    </row>
    <row r="302" spans="1:10" x14ac:dyDescent="0.3">
      <c r="A302" s="229"/>
      <c r="B302" s="224"/>
      <c r="C302" s="51"/>
      <c r="D302" s="47"/>
      <c r="E302" s="37"/>
      <c r="F302" s="34" t="s">
        <v>560</v>
      </c>
      <c r="G302" s="34" t="str">
        <f t="shared" si="4"/>
        <v/>
      </c>
      <c r="H302" s="35"/>
      <c r="I302" s="31"/>
      <c r="J302" s="155">
        <v>5.07</v>
      </c>
    </row>
    <row r="303" spans="1:10" ht="26.4" x14ac:dyDescent="0.3">
      <c r="A303" s="229"/>
      <c r="B303" s="224"/>
      <c r="C303" s="48" t="s">
        <v>125</v>
      </c>
      <c r="D303" s="47"/>
      <c r="E303" s="37"/>
      <c r="F303" s="34" t="s">
        <v>560</v>
      </c>
      <c r="G303" s="34" t="str">
        <f t="shared" si="4"/>
        <v/>
      </c>
      <c r="H303" s="35"/>
      <c r="I303" s="31"/>
      <c r="J303" s="155">
        <v>5.07</v>
      </c>
    </row>
    <row r="304" spans="1:10" ht="15" thickBot="1" x14ac:dyDescent="0.35">
      <c r="A304" s="230"/>
      <c r="B304" s="225"/>
      <c r="C304" s="36"/>
      <c r="D304" s="36"/>
      <c r="E304" s="37"/>
      <c r="F304" s="31" t="s">
        <v>560</v>
      </c>
      <c r="G304" s="31" t="str">
        <f t="shared" si="4"/>
        <v/>
      </c>
      <c r="H304" s="35"/>
      <c r="I304" s="31"/>
      <c r="J304" s="155">
        <v>5.07</v>
      </c>
    </row>
    <row r="305" spans="1:10" ht="15" hidden="1" thickBot="1" x14ac:dyDescent="0.35">
      <c r="A305" s="226" t="s">
        <v>126</v>
      </c>
      <c r="B305" s="223" t="e">
        <f>INDEX(#REF!,MATCH(Composições!A305,#REF!,0),2)</f>
        <v>#REF!</v>
      </c>
      <c r="C305" s="41"/>
      <c r="D305" s="26" t="e">
        <f>TRIM(INDEX(#REF!,MATCH(Composições!A305,#REF!,0),1))</f>
        <v>#REF!</v>
      </c>
      <c r="E305" s="27"/>
      <c r="F305" s="42" t="s">
        <v>560</v>
      </c>
      <c r="G305" s="28" t="str">
        <f t="shared" si="4"/>
        <v/>
      </c>
      <c r="H305" s="29"/>
      <c r="I305" s="30"/>
      <c r="J305" s="155">
        <v>0</v>
      </c>
    </row>
    <row r="306" spans="1:10" ht="15" hidden="1" thickBot="1" x14ac:dyDescent="0.35">
      <c r="A306" s="229"/>
      <c r="B306" s="224"/>
      <c r="C306" s="32"/>
      <c r="D306" s="32"/>
      <c r="E306" s="33"/>
      <c r="F306" s="43" t="s">
        <v>560</v>
      </c>
      <c r="G306" s="31" t="str">
        <f t="shared" si="4"/>
        <v/>
      </c>
      <c r="H306" s="35"/>
      <c r="I306" s="31"/>
      <c r="J306" s="155">
        <v>0</v>
      </c>
    </row>
    <row r="307" spans="1:10" ht="27" hidden="1" thickBot="1" x14ac:dyDescent="0.35">
      <c r="A307" s="229"/>
      <c r="B307" s="224"/>
      <c r="C307" s="36" t="s">
        <v>114</v>
      </c>
      <c r="D307" s="47" t="s">
        <v>110</v>
      </c>
      <c r="E307" s="37">
        <v>1</v>
      </c>
      <c r="F307" s="31">
        <v>158.874945</v>
      </c>
      <c r="G307" s="31">
        <f t="shared" si="4"/>
        <v>158.874945</v>
      </c>
      <c r="H307" s="39">
        <f>SUM(G307:G316)</f>
        <v>562.06042064839994</v>
      </c>
      <c r="I307" s="40"/>
      <c r="J307" s="155">
        <v>0</v>
      </c>
    </row>
    <row r="308" spans="1:10" ht="15" hidden="1" thickBot="1" x14ac:dyDescent="0.35">
      <c r="A308" s="229"/>
      <c r="B308" s="224"/>
      <c r="C308" s="36" t="s">
        <v>115</v>
      </c>
      <c r="D308" s="47" t="s">
        <v>110</v>
      </c>
      <c r="E308" s="37">
        <v>0.72299999999999998</v>
      </c>
      <c r="F308" s="34">
        <v>76.5</v>
      </c>
      <c r="G308" s="31">
        <f t="shared" si="4"/>
        <v>55.3095</v>
      </c>
      <c r="H308" s="35"/>
      <c r="I308" s="31"/>
      <c r="J308" s="155">
        <v>0</v>
      </c>
    </row>
    <row r="309" spans="1:10" ht="15" hidden="1" thickBot="1" x14ac:dyDescent="0.35">
      <c r="A309" s="229"/>
      <c r="B309" s="224"/>
      <c r="C309" s="36" t="s">
        <v>116</v>
      </c>
      <c r="D309" s="47" t="s">
        <v>42</v>
      </c>
      <c r="E309" s="37">
        <v>362.66</v>
      </c>
      <c r="F309" s="34">
        <v>0.46750000000000003</v>
      </c>
      <c r="G309" s="31">
        <f t="shared" si="4"/>
        <v>169.54355000000001</v>
      </c>
      <c r="H309" s="35"/>
      <c r="I309" s="31"/>
      <c r="J309" s="155">
        <v>0</v>
      </c>
    </row>
    <row r="310" spans="1:10" ht="15" hidden="1" thickBot="1" x14ac:dyDescent="0.35">
      <c r="A310" s="229"/>
      <c r="B310" s="224"/>
      <c r="C310" s="36" t="s">
        <v>117</v>
      </c>
      <c r="D310" s="47" t="s">
        <v>110</v>
      </c>
      <c r="E310" s="37">
        <v>0.59299999999999997</v>
      </c>
      <c r="F310" s="34">
        <v>111.82599999999999</v>
      </c>
      <c r="G310" s="31">
        <f t="shared" si="4"/>
        <v>66.312817999999993</v>
      </c>
      <c r="H310" s="35"/>
      <c r="I310" s="31"/>
      <c r="J310" s="155">
        <v>0</v>
      </c>
    </row>
    <row r="311" spans="1:10" ht="15" hidden="1" thickBot="1" x14ac:dyDescent="0.35">
      <c r="A311" s="229"/>
      <c r="B311" s="224"/>
      <c r="C311" s="36" t="s">
        <v>23</v>
      </c>
      <c r="D311" s="47" t="s">
        <v>12</v>
      </c>
      <c r="E311" s="37">
        <f>2.31</f>
        <v>2.31</v>
      </c>
      <c r="F311" s="31">
        <v>14.968499999999999</v>
      </c>
      <c r="G311" s="31">
        <f t="shared" si="4"/>
        <v>34.577234999999995</v>
      </c>
      <c r="H311" s="35"/>
      <c r="I311" s="31"/>
      <c r="J311" s="155">
        <v>0</v>
      </c>
    </row>
    <row r="312" spans="1:10" ht="27" hidden="1" thickBot="1" x14ac:dyDescent="0.35">
      <c r="A312" s="229"/>
      <c r="B312" s="224"/>
      <c r="C312" s="36" t="s">
        <v>118</v>
      </c>
      <c r="D312" s="47" t="s">
        <v>12</v>
      </c>
      <c r="E312" s="37">
        <v>1.46</v>
      </c>
      <c r="F312" s="31">
        <v>15.147</v>
      </c>
      <c r="G312" s="31">
        <f t="shared" si="4"/>
        <v>22.114619999999999</v>
      </c>
      <c r="H312" s="35"/>
      <c r="I312" s="31"/>
      <c r="J312" s="155">
        <v>0</v>
      </c>
    </row>
    <row r="313" spans="1:10" ht="40.200000000000003" hidden="1" thickBot="1" x14ac:dyDescent="0.35">
      <c r="A313" s="229"/>
      <c r="B313" s="224"/>
      <c r="C313" s="36" t="s">
        <v>119</v>
      </c>
      <c r="D313" s="47" t="s">
        <v>33</v>
      </c>
      <c r="E313" s="37">
        <v>0.75</v>
      </c>
      <c r="F313" s="34">
        <v>1.2324999999999999</v>
      </c>
      <c r="G313" s="31">
        <f t="shared" si="4"/>
        <v>0.92437499999999995</v>
      </c>
      <c r="H313" s="35"/>
      <c r="I313" s="31"/>
      <c r="J313" s="155">
        <v>0</v>
      </c>
    </row>
    <row r="314" spans="1:10" ht="40.200000000000003" hidden="1" thickBot="1" x14ac:dyDescent="0.35">
      <c r="A314" s="229"/>
      <c r="B314" s="224"/>
      <c r="C314" s="36" t="s">
        <v>120</v>
      </c>
      <c r="D314" s="36" t="s">
        <v>35</v>
      </c>
      <c r="E314" s="37">
        <v>0.71</v>
      </c>
      <c r="F314" s="34">
        <v>0.27200000000000002</v>
      </c>
      <c r="G314" s="31">
        <f t="shared" si="4"/>
        <v>0.19312000000000001</v>
      </c>
      <c r="H314" s="35"/>
      <c r="I314" s="31"/>
      <c r="J314" s="155">
        <v>0</v>
      </c>
    </row>
    <row r="315" spans="1:10" ht="53.4" hidden="1" thickBot="1" x14ac:dyDescent="0.35">
      <c r="A315" s="229"/>
      <c r="B315" s="224"/>
      <c r="C315" s="36" t="s">
        <v>1931</v>
      </c>
      <c r="D315" s="36" t="s">
        <v>122</v>
      </c>
      <c r="E315" s="37">
        <f>1*(E308+E310)</f>
        <v>1.3159999999999998</v>
      </c>
      <c r="F315" s="34">
        <v>5.4059098999999993</v>
      </c>
      <c r="G315" s="34">
        <f t="shared" si="4"/>
        <v>7.1141774283999979</v>
      </c>
      <c r="H315" s="35"/>
      <c r="I315" s="31"/>
      <c r="J315" s="155">
        <v>0</v>
      </c>
    </row>
    <row r="316" spans="1:10" ht="27" hidden="1" thickBot="1" x14ac:dyDescent="0.35">
      <c r="A316" s="229"/>
      <c r="B316" s="224"/>
      <c r="C316" s="36" t="s">
        <v>123</v>
      </c>
      <c r="D316" s="47" t="s">
        <v>124</v>
      </c>
      <c r="E316" s="37">
        <f>(E308+E310)*20</f>
        <v>26.319999999999997</v>
      </c>
      <c r="F316" s="34">
        <v>1.7893647499999998</v>
      </c>
      <c r="G316" s="34">
        <f t="shared" si="4"/>
        <v>47.09608021999999</v>
      </c>
      <c r="H316" s="35"/>
      <c r="I316" s="31"/>
      <c r="J316" s="155">
        <v>0</v>
      </c>
    </row>
    <row r="317" spans="1:10" ht="15" hidden="1" thickBot="1" x14ac:dyDescent="0.35">
      <c r="A317" s="229"/>
      <c r="B317" s="224"/>
      <c r="C317" s="51"/>
      <c r="D317" s="47"/>
      <c r="E317" s="37"/>
      <c r="F317" s="34" t="s">
        <v>560</v>
      </c>
      <c r="G317" s="34" t="str">
        <f t="shared" si="4"/>
        <v/>
      </c>
      <c r="H317" s="35"/>
      <c r="I317" s="31"/>
      <c r="J317" s="155">
        <v>0</v>
      </c>
    </row>
    <row r="318" spans="1:10" ht="27" hidden="1" thickBot="1" x14ac:dyDescent="0.35">
      <c r="A318" s="229"/>
      <c r="B318" s="224"/>
      <c r="C318" s="48" t="s">
        <v>125</v>
      </c>
      <c r="D318" s="47"/>
      <c r="E318" s="37"/>
      <c r="F318" s="34" t="s">
        <v>560</v>
      </c>
      <c r="G318" s="34" t="str">
        <f t="shared" si="4"/>
        <v/>
      </c>
      <c r="H318" s="35"/>
      <c r="I318" s="31"/>
      <c r="J318" s="155">
        <v>0</v>
      </c>
    </row>
    <row r="319" spans="1:10" ht="15" hidden="1" thickBot="1" x14ac:dyDescent="0.35">
      <c r="A319" s="230"/>
      <c r="B319" s="225"/>
      <c r="C319" s="36"/>
      <c r="D319" s="36"/>
      <c r="E319" s="37"/>
      <c r="F319" s="31" t="s">
        <v>560</v>
      </c>
      <c r="G319" s="31" t="str">
        <f t="shared" si="4"/>
        <v/>
      </c>
      <c r="H319" s="35"/>
      <c r="I319" s="31"/>
      <c r="J319" s="155">
        <v>0</v>
      </c>
    </row>
    <row r="320" spans="1:10" ht="15" hidden="1" thickBot="1" x14ac:dyDescent="0.35">
      <c r="A320" s="226" t="s">
        <v>127</v>
      </c>
      <c r="B320" s="223" t="e">
        <f>INDEX(#REF!,MATCH(Composições!A320,#REF!,0),2)</f>
        <v>#REF!</v>
      </c>
      <c r="C320" s="41"/>
      <c r="D320" s="26" t="e">
        <f>TRIM(INDEX(#REF!,MATCH(Composições!A320,#REF!,0),1))</f>
        <v>#REF!</v>
      </c>
      <c r="E320" s="27"/>
      <c r="F320" s="42" t="s">
        <v>560</v>
      </c>
      <c r="G320" s="28" t="str">
        <f t="shared" si="4"/>
        <v/>
      </c>
      <c r="H320" s="29"/>
      <c r="I320" s="30"/>
      <c r="J320" s="155">
        <v>0</v>
      </c>
    </row>
    <row r="321" spans="1:10" ht="15" hidden="1" thickBot="1" x14ac:dyDescent="0.35">
      <c r="A321" s="229"/>
      <c r="B321" s="224"/>
      <c r="C321" s="32"/>
      <c r="D321" s="32"/>
      <c r="E321" s="33"/>
      <c r="F321" s="31" t="s">
        <v>560</v>
      </c>
      <c r="G321" s="31" t="str">
        <f t="shared" si="4"/>
        <v/>
      </c>
      <c r="H321" s="35"/>
      <c r="I321" s="31"/>
      <c r="J321" s="155">
        <v>0</v>
      </c>
    </row>
    <row r="322" spans="1:10" ht="40.200000000000003" hidden="1" thickBot="1" x14ac:dyDescent="0.35">
      <c r="A322" s="229"/>
      <c r="B322" s="224"/>
      <c r="C322" s="36" t="s">
        <v>128</v>
      </c>
      <c r="D322" s="47" t="s">
        <v>129</v>
      </c>
      <c r="E322" s="37">
        <v>0.85</v>
      </c>
      <c r="F322" s="31">
        <v>5.2529999999999992</v>
      </c>
      <c r="G322" s="31">
        <f t="shared" si="4"/>
        <v>4.4650499999999989</v>
      </c>
      <c r="H322" s="39">
        <f>SUM(G322:G324)</f>
        <v>14.637</v>
      </c>
      <c r="I322" s="40"/>
      <c r="J322" s="155">
        <v>0</v>
      </c>
    </row>
    <row r="323" spans="1:10" ht="15" hidden="1" thickBot="1" x14ac:dyDescent="0.35">
      <c r="A323" s="229"/>
      <c r="B323" s="224"/>
      <c r="C323" s="36" t="s">
        <v>130</v>
      </c>
      <c r="D323" s="47" t="s">
        <v>12</v>
      </c>
      <c r="E323" s="37">
        <v>0.2</v>
      </c>
      <c r="F323" s="31">
        <v>16.966000000000001</v>
      </c>
      <c r="G323" s="31">
        <f t="shared" si="4"/>
        <v>3.3932000000000002</v>
      </c>
      <c r="H323" s="35"/>
      <c r="I323" s="31"/>
      <c r="J323" s="155">
        <v>0</v>
      </c>
    </row>
    <row r="324" spans="1:10" ht="27" hidden="1" thickBot="1" x14ac:dyDescent="0.35">
      <c r="A324" s="229"/>
      <c r="B324" s="224"/>
      <c r="C324" s="36" t="s">
        <v>2034</v>
      </c>
      <c r="D324" s="47" t="s">
        <v>93</v>
      </c>
      <c r="E324" s="37">
        <v>1.1000000000000001</v>
      </c>
      <c r="F324" s="31">
        <v>6.1624999999999996</v>
      </c>
      <c r="G324" s="31">
        <f t="shared" si="4"/>
        <v>6.7787500000000005</v>
      </c>
      <c r="H324" s="35"/>
      <c r="I324" s="31"/>
      <c r="J324" s="155">
        <v>0</v>
      </c>
    </row>
    <row r="325" spans="1:10" ht="15" hidden="1" thickBot="1" x14ac:dyDescent="0.35">
      <c r="A325" s="229"/>
      <c r="B325" s="224"/>
      <c r="C325" s="36"/>
      <c r="D325" s="36"/>
      <c r="E325" s="37"/>
      <c r="F325" s="31" t="s">
        <v>560</v>
      </c>
      <c r="G325" s="31" t="str">
        <f t="shared" si="4"/>
        <v/>
      </c>
      <c r="H325" s="35"/>
      <c r="I325" s="31"/>
      <c r="J325" s="155">
        <v>0</v>
      </c>
    </row>
    <row r="326" spans="1:10" ht="15" hidden="1" thickBot="1" x14ac:dyDescent="0.35">
      <c r="A326" s="226" t="s">
        <v>131</v>
      </c>
      <c r="B326" s="223" t="e">
        <f>INDEX(#REF!,MATCH(Composições!A326,#REF!,0),2)</f>
        <v>#REF!</v>
      </c>
      <c r="C326" s="41"/>
      <c r="D326" s="26" t="e">
        <f>TRIM(INDEX(#REF!,MATCH(Composições!A326,#REF!,0),1))</f>
        <v>#REF!</v>
      </c>
      <c r="E326" s="27"/>
      <c r="F326" s="42" t="s">
        <v>560</v>
      </c>
      <c r="G326" s="28" t="str">
        <f t="shared" ref="G326:G389" si="5">IF(ISNUMBER(F326),E326*F326,"")</f>
        <v/>
      </c>
      <c r="H326" s="29"/>
      <c r="I326" s="30"/>
      <c r="J326" s="155">
        <v>0</v>
      </c>
    </row>
    <row r="327" spans="1:10" ht="15" hidden="1" thickBot="1" x14ac:dyDescent="0.35">
      <c r="A327" s="229"/>
      <c r="B327" s="224"/>
      <c r="C327" s="32"/>
      <c r="D327" s="32"/>
      <c r="E327" s="33"/>
      <c r="F327" s="43" t="s">
        <v>560</v>
      </c>
      <c r="G327" s="31" t="str">
        <f t="shared" si="5"/>
        <v/>
      </c>
      <c r="H327" s="35"/>
      <c r="I327" s="31"/>
      <c r="J327" s="155">
        <v>0</v>
      </c>
    </row>
    <row r="328" spans="1:10" ht="27" hidden="1" thickBot="1" x14ac:dyDescent="0.35">
      <c r="A328" s="229"/>
      <c r="B328" s="224"/>
      <c r="C328" s="36" t="s">
        <v>132</v>
      </c>
      <c r="D328" s="47" t="s">
        <v>42</v>
      </c>
      <c r="E328" s="37">
        <v>0.01</v>
      </c>
      <c r="F328" s="34">
        <v>39.669499999999999</v>
      </c>
      <c r="G328" s="34">
        <f t="shared" si="5"/>
        <v>0.39669500000000002</v>
      </c>
      <c r="H328" s="39">
        <f>SUM(G328:G339)</f>
        <v>11.147240000000002</v>
      </c>
      <c r="I328" s="40"/>
      <c r="J328" s="155">
        <v>0</v>
      </c>
    </row>
    <row r="329" spans="1:10" ht="27" hidden="1" thickBot="1" x14ac:dyDescent="0.35">
      <c r="A329" s="229"/>
      <c r="B329" s="224"/>
      <c r="C329" s="36" t="s">
        <v>133</v>
      </c>
      <c r="D329" s="47" t="s">
        <v>42</v>
      </c>
      <c r="E329" s="37">
        <v>0.27</v>
      </c>
      <c r="F329" s="34">
        <v>8.1684999999999999</v>
      </c>
      <c r="G329" s="34">
        <f t="shared" si="5"/>
        <v>2.205495</v>
      </c>
      <c r="H329" s="35"/>
      <c r="I329" s="31"/>
      <c r="J329" s="155">
        <v>0</v>
      </c>
    </row>
    <row r="330" spans="1:10" ht="15" hidden="1" thickBot="1" x14ac:dyDescent="0.35">
      <c r="A330" s="229"/>
      <c r="B330" s="224"/>
      <c r="C330" s="36" t="s">
        <v>134</v>
      </c>
      <c r="D330" s="47" t="s">
        <v>42</v>
      </c>
      <c r="E330" s="37">
        <v>0.33</v>
      </c>
      <c r="F330" s="34">
        <v>0</v>
      </c>
      <c r="G330" s="34">
        <f t="shared" si="5"/>
        <v>0</v>
      </c>
      <c r="H330" s="35"/>
      <c r="I330" s="31"/>
      <c r="J330" s="155">
        <v>0</v>
      </c>
    </row>
    <row r="331" spans="1:10" ht="15" hidden="1" thickBot="1" x14ac:dyDescent="0.35">
      <c r="A331" s="229"/>
      <c r="B331" s="224"/>
      <c r="C331" s="36" t="s">
        <v>135</v>
      </c>
      <c r="D331" s="47" t="s">
        <v>42</v>
      </c>
      <c r="E331" s="37">
        <v>2.5000000000000001E-2</v>
      </c>
      <c r="F331" s="34">
        <v>16.898</v>
      </c>
      <c r="G331" s="34">
        <f t="shared" si="5"/>
        <v>0.42244999999999999</v>
      </c>
      <c r="H331" s="35"/>
      <c r="I331" s="31"/>
      <c r="J331" s="155">
        <v>0</v>
      </c>
    </row>
    <row r="332" spans="1:10" ht="27" hidden="1" thickBot="1" x14ac:dyDescent="0.35">
      <c r="A332" s="229"/>
      <c r="B332" s="224"/>
      <c r="C332" s="36" t="s">
        <v>136</v>
      </c>
      <c r="D332" s="47" t="s">
        <v>110</v>
      </c>
      <c r="E332" s="37">
        <v>0.05</v>
      </c>
      <c r="F332" s="34">
        <v>8.6870000000000012</v>
      </c>
      <c r="G332" s="34">
        <f t="shared" si="5"/>
        <v>0.43435000000000007</v>
      </c>
      <c r="H332" s="35"/>
      <c r="I332" s="31"/>
      <c r="J332" s="155">
        <v>0</v>
      </c>
    </row>
    <row r="333" spans="1:10" ht="15" hidden="1" thickBot="1" x14ac:dyDescent="0.35">
      <c r="A333" s="229"/>
      <c r="B333" s="224"/>
      <c r="C333" s="36" t="s">
        <v>137</v>
      </c>
      <c r="D333" s="47" t="s">
        <v>42</v>
      </c>
      <c r="E333" s="37">
        <v>0.4</v>
      </c>
      <c r="F333" s="34">
        <v>0</v>
      </c>
      <c r="G333" s="34">
        <f t="shared" si="5"/>
        <v>0</v>
      </c>
      <c r="H333" s="35"/>
      <c r="I333" s="31"/>
      <c r="J333" s="155">
        <v>0</v>
      </c>
    </row>
    <row r="334" spans="1:10" ht="15" hidden="1" thickBot="1" x14ac:dyDescent="0.35">
      <c r="A334" s="229"/>
      <c r="B334" s="224"/>
      <c r="C334" s="36" t="s">
        <v>27</v>
      </c>
      <c r="D334" s="47" t="s">
        <v>12</v>
      </c>
      <c r="E334" s="37">
        <f>0.2+0.2</f>
        <v>0.4</v>
      </c>
      <c r="F334" s="31">
        <v>15.4785</v>
      </c>
      <c r="G334" s="34">
        <f t="shared" si="5"/>
        <v>6.1914000000000007</v>
      </c>
      <c r="H334" s="35"/>
      <c r="I334" s="31"/>
      <c r="J334" s="155">
        <v>0</v>
      </c>
    </row>
    <row r="335" spans="1:10" ht="15" hidden="1" thickBot="1" x14ac:dyDescent="0.35">
      <c r="A335" s="229"/>
      <c r="B335" s="224"/>
      <c r="C335" s="36" t="s">
        <v>23</v>
      </c>
      <c r="D335" s="47" t="s">
        <v>12</v>
      </c>
      <c r="E335" s="37">
        <v>0.1</v>
      </c>
      <c r="F335" s="31">
        <v>14.968499999999999</v>
      </c>
      <c r="G335" s="34">
        <f t="shared" si="5"/>
        <v>1.49685</v>
      </c>
      <c r="H335" s="35"/>
      <c r="I335" s="31"/>
      <c r="J335" s="155">
        <v>0</v>
      </c>
    </row>
    <row r="336" spans="1:10" ht="27" hidden="1" thickBot="1" x14ac:dyDescent="0.35">
      <c r="A336" s="229"/>
      <c r="B336" s="224"/>
      <c r="C336" s="36" t="s">
        <v>138</v>
      </c>
      <c r="D336" s="47" t="s">
        <v>42</v>
      </c>
      <c r="E336" s="37">
        <v>0.05</v>
      </c>
      <c r="F336" s="34">
        <v>0</v>
      </c>
      <c r="G336" s="34">
        <f t="shared" si="5"/>
        <v>0</v>
      </c>
      <c r="H336" s="35"/>
      <c r="I336" s="31"/>
      <c r="J336" s="155">
        <v>0</v>
      </c>
    </row>
    <row r="337" spans="1:10" ht="40.200000000000003" hidden="1" thickBot="1" x14ac:dyDescent="0.35">
      <c r="A337" s="229"/>
      <c r="B337" s="224"/>
      <c r="C337" s="36" t="s">
        <v>139</v>
      </c>
      <c r="D337" s="47" t="s">
        <v>95</v>
      </c>
      <c r="E337" s="37">
        <v>0.05</v>
      </c>
      <c r="F337" s="34">
        <v>0</v>
      </c>
      <c r="G337" s="34">
        <f t="shared" si="5"/>
        <v>0</v>
      </c>
      <c r="H337" s="35"/>
      <c r="I337" s="31"/>
      <c r="J337" s="155">
        <v>0</v>
      </c>
    </row>
    <row r="338" spans="1:10" ht="15" hidden="1" thickBot="1" x14ac:dyDescent="0.35">
      <c r="A338" s="229"/>
      <c r="B338" s="224"/>
      <c r="C338" s="36" t="s">
        <v>140</v>
      </c>
      <c r="D338" s="47" t="s">
        <v>12</v>
      </c>
      <c r="E338" s="37">
        <v>2.5000000000000001E-2</v>
      </c>
      <c r="F338" s="34">
        <v>0</v>
      </c>
      <c r="G338" s="34">
        <f t="shared" si="5"/>
        <v>0</v>
      </c>
      <c r="H338" s="35"/>
      <c r="I338" s="31"/>
      <c r="J338" s="155">
        <v>0</v>
      </c>
    </row>
    <row r="339" spans="1:10" ht="53.4" hidden="1" thickBot="1" x14ac:dyDescent="0.35">
      <c r="A339" s="229"/>
      <c r="B339" s="224"/>
      <c r="C339" s="36" t="s">
        <v>141</v>
      </c>
      <c r="D339" s="47" t="s">
        <v>12</v>
      </c>
      <c r="E339" s="37">
        <v>0.5</v>
      </c>
      <c r="F339" s="34">
        <v>0</v>
      </c>
      <c r="G339" s="34">
        <f t="shared" si="5"/>
        <v>0</v>
      </c>
      <c r="H339" s="35"/>
      <c r="I339" s="31"/>
      <c r="J339" s="155">
        <v>0</v>
      </c>
    </row>
    <row r="340" spans="1:10" ht="15" hidden="1" thickBot="1" x14ac:dyDescent="0.35">
      <c r="A340" s="230"/>
      <c r="B340" s="225"/>
      <c r="C340" s="36"/>
      <c r="D340" s="36"/>
      <c r="E340" s="37"/>
      <c r="F340" s="31" t="s">
        <v>560</v>
      </c>
      <c r="G340" s="31" t="str">
        <f t="shared" si="5"/>
        <v/>
      </c>
      <c r="H340" s="35"/>
      <c r="I340" s="31"/>
      <c r="J340" s="155">
        <v>0</v>
      </c>
    </row>
    <row r="341" spans="1:10" ht="15" thickBot="1" x14ac:dyDescent="0.35">
      <c r="A341" s="226" t="s">
        <v>142</v>
      </c>
      <c r="B341" s="223" t="str">
        <f>INDEX(Orçamentária!A:B,MATCH(Composições!A341,Orçamentária!A:A,0),2)</f>
        <v>Forma para estruturas de concreto</v>
      </c>
      <c r="C341" s="41"/>
      <c r="D341" s="26" t="str">
        <f>TRIM(INDEX(Orçamentária!C:C,MATCH(Composições!A341,Orçamentária!A:A,0),1))</f>
        <v>m2</v>
      </c>
      <c r="E341" s="27"/>
      <c r="F341" s="42" t="s">
        <v>560</v>
      </c>
      <c r="G341" s="28" t="str">
        <f t="shared" si="5"/>
        <v/>
      </c>
      <c r="H341" s="29"/>
      <c r="I341" s="30"/>
      <c r="J341" s="155">
        <v>1302.6600000000001</v>
      </c>
    </row>
    <row r="342" spans="1:10" x14ac:dyDescent="0.3">
      <c r="A342" s="229"/>
      <c r="B342" s="224"/>
      <c r="C342" s="32"/>
      <c r="D342" s="32"/>
      <c r="E342" s="33"/>
      <c r="F342" s="43" t="s">
        <v>560</v>
      </c>
      <c r="G342" s="31" t="str">
        <f t="shared" si="5"/>
        <v/>
      </c>
      <c r="H342" s="35"/>
      <c r="I342" s="31"/>
      <c r="J342" s="155">
        <v>1302.6600000000001</v>
      </c>
    </row>
    <row r="343" spans="1:10" ht="26.4" x14ac:dyDescent="0.3">
      <c r="A343" s="229"/>
      <c r="B343" s="224"/>
      <c r="C343" s="36" t="s">
        <v>1204</v>
      </c>
      <c r="D343" s="50" t="s">
        <v>103</v>
      </c>
      <c r="E343" s="37">
        <v>0.01</v>
      </c>
      <c r="F343" s="34">
        <v>5.4824999999999999</v>
      </c>
      <c r="G343" s="34">
        <f t="shared" si="5"/>
        <v>5.4824999999999999E-2</v>
      </c>
      <c r="H343" s="39">
        <f>SUM(G343:G349)</f>
        <v>142.569188943</v>
      </c>
      <c r="I343" s="40"/>
      <c r="J343" s="155">
        <v>1302.6600000000001</v>
      </c>
    </row>
    <row r="344" spans="1:10" ht="26.4" x14ac:dyDescent="0.3">
      <c r="A344" s="229"/>
      <c r="B344" s="224"/>
      <c r="C344" s="36" t="s">
        <v>2064</v>
      </c>
      <c r="D344" s="36" t="s">
        <v>515</v>
      </c>
      <c r="E344" s="37">
        <v>0.47399999999999998</v>
      </c>
      <c r="F344" s="34">
        <v>14.951499999999999</v>
      </c>
      <c r="G344" s="34">
        <f t="shared" si="5"/>
        <v>7.0870109999999995</v>
      </c>
      <c r="H344" s="35"/>
      <c r="I344" s="31"/>
      <c r="J344" s="155">
        <v>1302.6600000000001</v>
      </c>
    </row>
    <row r="345" spans="1:10" x14ac:dyDescent="0.3">
      <c r="A345" s="229"/>
      <c r="B345" s="224"/>
      <c r="C345" s="36" t="s">
        <v>1821</v>
      </c>
      <c r="D345" s="36" t="s">
        <v>939</v>
      </c>
      <c r="E345" s="37">
        <v>4.9000000000000002E-2</v>
      </c>
      <c r="F345" s="34">
        <v>21.233000000000001</v>
      </c>
      <c r="G345" s="34">
        <f t="shared" si="5"/>
        <v>1.0404170000000001</v>
      </c>
      <c r="H345" s="35"/>
      <c r="I345" s="31"/>
      <c r="J345" s="155">
        <v>1302.6600000000001</v>
      </c>
    </row>
    <row r="346" spans="1:10" x14ac:dyDescent="0.3">
      <c r="A346" s="229"/>
      <c r="B346" s="224"/>
      <c r="C346" s="36" t="s">
        <v>827</v>
      </c>
      <c r="D346" s="36" t="s">
        <v>744</v>
      </c>
      <c r="E346" s="37">
        <v>0.20499999999999999</v>
      </c>
      <c r="F346" s="31">
        <v>16.966000000000001</v>
      </c>
      <c r="G346" s="34">
        <f t="shared" si="5"/>
        <v>3.47803</v>
      </c>
      <c r="H346" s="35"/>
      <c r="I346" s="31"/>
      <c r="J346" s="155">
        <v>1302.6600000000001</v>
      </c>
    </row>
    <row r="347" spans="1:10" x14ac:dyDescent="0.3">
      <c r="A347" s="229"/>
      <c r="B347" s="224"/>
      <c r="C347" s="36" t="s">
        <v>1036</v>
      </c>
      <c r="D347" s="36" t="s">
        <v>744</v>
      </c>
      <c r="E347" s="37">
        <v>1.1200000000000001</v>
      </c>
      <c r="F347" s="31">
        <v>20.128</v>
      </c>
      <c r="G347" s="34">
        <f t="shared" si="5"/>
        <v>22.543360000000003</v>
      </c>
      <c r="H347" s="35"/>
      <c r="I347" s="31"/>
      <c r="J347" s="155">
        <v>1302.6600000000001</v>
      </c>
    </row>
    <row r="348" spans="1:10" ht="26.4" x14ac:dyDescent="0.3">
      <c r="A348" s="229"/>
      <c r="B348" s="224"/>
      <c r="C348" s="36" t="s">
        <v>2017</v>
      </c>
      <c r="D348" s="36" t="s">
        <v>1035</v>
      </c>
      <c r="E348" s="37">
        <v>0.621</v>
      </c>
      <c r="F348" s="34">
        <v>92.328274999999977</v>
      </c>
      <c r="G348" s="34">
        <f t="shared" si="5"/>
        <v>57.335858774999984</v>
      </c>
      <c r="H348" s="35"/>
      <c r="I348" s="31"/>
      <c r="J348" s="155">
        <v>1302.6600000000001</v>
      </c>
    </row>
    <row r="349" spans="1:10" ht="26.4" x14ac:dyDescent="0.3">
      <c r="A349" s="229"/>
      <c r="B349" s="224"/>
      <c r="C349" s="36" t="s">
        <v>2019</v>
      </c>
      <c r="D349" s="36" t="s">
        <v>515</v>
      </c>
      <c r="E349" s="37">
        <v>1.8160000000000001</v>
      </c>
      <c r="F349" s="34">
        <v>28.100048000000001</v>
      </c>
      <c r="G349" s="34">
        <f t="shared" si="5"/>
        <v>51.029687168000002</v>
      </c>
      <c r="H349" s="35"/>
      <c r="I349" s="31"/>
      <c r="J349" s="155">
        <v>1302.6600000000001</v>
      </c>
    </row>
    <row r="350" spans="1:10" ht="15" thickBot="1" x14ac:dyDescent="0.35">
      <c r="A350" s="230"/>
      <c r="B350" s="225"/>
      <c r="C350" s="36"/>
      <c r="D350" s="36"/>
      <c r="E350" s="37"/>
      <c r="F350" s="31" t="s">
        <v>560</v>
      </c>
      <c r="G350" s="31" t="str">
        <f t="shared" si="5"/>
        <v/>
      </c>
      <c r="H350" s="35"/>
      <c r="I350" s="31"/>
      <c r="J350" s="155">
        <v>1302.6600000000001</v>
      </c>
    </row>
    <row r="351" spans="1:10" ht="15" hidden="1" thickBot="1" x14ac:dyDescent="0.35">
      <c r="A351" s="226" t="s">
        <v>143</v>
      </c>
      <c r="B351" s="223" t="e">
        <f>INDEX(#REF!,MATCH(Composições!A351,#REF!,0),2)</f>
        <v>#REF!</v>
      </c>
      <c r="C351" s="41"/>
      <c r="D351" s="26" t="e">
        <f>TRIM(INDEX(#REF!,MATCH(Composições!A351,#REF!,0),1))</f>
        <v>#REF!</v>
      </c>
      <c r="E351" s="27"/>
      <c r="F351" s="42" t="s">
        <v>560</v>
      </c>
      <c r="G351" s="28" t="str">
        <f t="shared" si="5"/>
        <v/>
      </c>
      <c r="H351" s="29"/>
      <c r="I351" s="30"/>
      <c r="J351" s="155">
        <v>0</v>
      </c>
    </row>
    <row r="352" spans="1:10" ht="15" hidden="1" thickBot="1" x14ac:dyDescent="0.35">
      <c r="A352" s="227"/>
      <c r="B352" s="224"/>
      <c r="C352" s="32"/>
      <c r="D352" s="32"/>
      <c r="E352" s="33"/>
      <c r="F352" s="43" t="s">
        <v>560</v>
      </c>
      <c r="G352" s="31" t="str">
        <f t="shared" si="5"/>
        <v/>
      </c>
      <c r="H352" s="35"/>
      <c r="I352" s="31"/>
      <c r="J352" s="155">
        <v>0</v>
      </c>
    </row>
    <row r="353" spans="1:10" ht="15" hidden="1" thickBot="1" x14ac:dyDescent="0.35">
      <c r="A353" s="227"/>
      <c r="B353" s="224"/>
      <c r="C353" s="36" t="s">
        <v>23</v>
      </c>
      <c r="D353" s="47" t="s">
        <v>12</v>
      </c>
      <c r="E353" s="37">
        <v>0.4</v>
      </c>
      <c r="F353" s="31">
        <v>14.968499999999999</v>
      </c>
      <c r="G353" s="34">
        <f t="shared" si="5"/>
        <v>5.9874000000000001</v>
      </c>
      <c r="H353" s="39">
        <f>SUM(G353:G361)</f>
        <v>21.778149098</v>
      </c>
      <c r="I353" s="40"/>
      <c r="J353" s="155">
        <v>0</v>
      </c>
    </row>
    <row r="354" spans="1:10" ht="15" hidden="1" thickBot="1" x14ac:dyDescent="0.35">
      <c r="A354" s="227"/>
      <c r="B354" s="224"/>
      <c r="C354" s="36" t="s">
        <v>144</v>
      </c>
      <c r="D354" s="47" t="s">
        <v>12</v>
      </c>
      <c r="E354" s="37">
        <v>0.3</v>
      </c>
      <c r="F354" s="31">
        <v>20.314999999999998</v>
      </c>
      <c r="G354" s="34">
        <f t="shared" si="5"/>
        <v>6.0944999999999991</v>
      </c>
      <c r="H354" s="35"/>
      <c r="I354" s="31"/>
      <c r="J354" s="155">
        <v>0</v>
      </c>
    </row>
    <row r="355" spans="1:10" ht="15" hidden="1" thickBot="1" x14ac:dyDescent="0.35">
      <c r="A355" s="227"/>
      <c r="B355" s="224"/>
      <c r="C355" s="36" t="s">
        <v>115</v>
      </c>
      <c r="D355" s="36" t="s">
        <v>110</v>
      </c>
      <c r="E355" s="37">
        <v>0.01</v>
      </c>
      <c r="F355" s="34">
        <v>76.5</v>
      </c>
      <c r="G355" s="34">
        <f t="shared" si="5"/>
        <v>0.76500000000000001</v>
      </c>
      <c r="H355" s="35"/>
      <c r="I355" s="31"/>
      <c r="J355" s="155">
        <v>0</v>
      </c>
    </row>
    <row r="356" spans="1:10" ht="15" hidden="1" thickBot="1" x14ac:dyDescent="0.35">
      <c r="A356" s="227"/>
      <c r="B356" s="224"/>
      <c r="C356" s="36" t="s">
        <v>145</v>
      </c>
      <c r="D356" s="36" t="s">
        <v>110</v>
      </c>
      <c r="E356" s="37">
        <v>0.01</v>
      </c>
      <c r="F356" s="34">
        <v>112.42099999999999</v>
      </c>
      <c r="G356" s="34">
        <f t="shared" si="5"/>
        <v>1.1242099999999999</v>
      </c>
      <c r="H356" s="35"/>
      <c r="I356" s="31"/>
      <c r="J356" s="155">
        <v>0</v>
      </c>
    </row>
    <row r="357" spans="1:10" ht="15" hidden="1" thickBot="1" x14ac:dyDescent="0.35">
      <c r="A357" s="227"/>
      <c r="B357" s="224"/>
      <c r="C357" s="36" t="s">
        <v>116</v>
      </c>
      <c r="D357" s="47" t="s">
        <v>42</v>
      </c>
      <c r="E357" s="37">
        <v>2.0099999999999998</v>
      </c>
      <c r="F357" s="34">
        <v>0.46750000000000003</v>
      </c>
      <c r="G357" s="34">
        <f t="shared" si="5"/>
        <v>0.93967499999999993</v>
      </c>
      <c r="H357" s="35"/>
      <c r="I357" s="31"/>
      <c r="J357" s="155">
        <v>0</v>
      </c>
    </row>
    <row r="358" spans="1:10" ht="15" hidden="1" thickBot="1" x14ac:dyDescent="0.35">
      <c r="A358" s="227"/>
      <c r="B358" s="224"/>
      <c r="C358" s="36" t="s">
        <v>146</v>
      </c>
      <c r="D358" s="47" t="s">
        <v>147</v>
      </c>
      <c r="E358" s="37">
        <v>2.5</v>
      </c>
      <c r="F358" s="31">
        <v>0.34849999999999998</v>
      </c>
      <c r="G358" s="34">
        <f t="shared" si="5"/>
        <v>0.87124999999999997</v>
      </c>
      <c r="H358" s="35"/>
      <c r="I358" s="31"/>
      <c r="J358" s="155">
        <v>0</v>
      </c>
    </row>
    <row r="359" spans="1:10" ht="15" hidden="1" thickBot="1" x14ac:dyDescent="0.35">
      <c r="A359" s="227"/>
      <c r="B359" s="224"/>
      <c r="C359" s="36" t="s">
        <v>148</v>
      </c>
      <c r="D359" s="47" t="s">
        <v>42</v>
      </c>
      <c r="E359" s="37">
        <v>0.5</v>
      </c>
      <c r="F359" s="34">
        <v>10.3445</v>
      </c>
      <c r="G359" s="34">
        <f t="shared" si="5"/>
        <v>5.17225</v>
      </c>
      <c r="H359" s="35"/>
      <c r="I359" s="31"/>
      <c r="J359" s="155">
        <v>0</v>
      </c>
    </row>
    <row r="360" spans="1:10" ht="53.4" hidden="1" thickBot="1" x14ac:dyDescent="0.35">
      <c r="A360" s="227"/>
      <c r="B360" s="224"/>
      <c r="C360" s="36" t="s">
        <v>1931</v>
      </c>
      <c r="D360" s="36" t="s">
        <v>122</v>
      </c>
      <c r="E360" s="37">
        <f>1*(E355+E356)</f>
        <v>0.02</v>
      </c>
      <c r="F360" s="34">
        <v>5.4059098999999993</v>
      </c>
      <c r="G360" s="34">
        <f t="shared" si="5"/>
        <v>0.10811819799999998</v>
      </c>
      <c r="H360" s="35"/>
      <c r="I360" s="31"/>
      <c r="J360" s="155">
        <v>0</v>
      </c>
    </row>
    <row r="361" spans="1:10" ht="27" hidden="1" thickBot="1" x14ac:dyDescent="0.35">
      <c r="A361" s="227"/>
      <c r="B361" s="224"/>
      <c r="C361" s="36" t="s">
        <v>123</v>
      </c>
      <c r="D361" s="47" t="s">
        <v>124</v>
      </c>
      <c r="E361" s="37">
        <f>(E355+E356)*20</f>
        <v>0.4</v>
      </c>
      <c r="F361" s="34">
        <v>1.7893647499999998</v>
      </c>
      <c r="G361" s="34">
        <f t="shared" si="5"/>
        <v>0.71574589999999993</v>
      </c>
      <c r="H361" s="35"/>
      <c r="I361" s="31"/>
      <c r="J361" s="155">
        <v>0</v>
      </c>
    </row>
    <row r="362" spans="1:10" ht="15" hidden="1" thickBot="1" x14ac:dyDescent="0.35">
      <c r="A362" s="227"/>
      <c r="B362" s="224"/>
      <c r="C362" s="51"/>
      <c r="D362" s="47"/>
      <c r="E362" s="37"/>
      <c r="F362" s="34" t="s">
        <v>560</v>
      </c>
      <c r="G362" s="34" t="str">
        <f t="shared" si="5"/>
        <v/>
      </c>
      <c r="H362" s="35"/>
      <c r="I362" s="31"/>
      <c r="J362" s="155">
        <v>0</v>
      </c>
    </row>
    <row r="363" spans="1:10" ht="27" hidden="1" thickBot="1" x14ac:dyDescent="0.35">
      <c r="A363" s="227"/>
      <c r="B363" s="224"/>
      <c r="C363" s="48" t="s">
        <v>125</v>
      </c>
      <c r="D363" s="47"/>
      <c r="E363" s="37"/>
      <c r="F363" s="34" t="s">
        <v>560</v>
      </c>
      <c r="G363" s="34" t="str">
        <f t="shared" si="5"/>
        <v/>
      </c>
      <c r="H363" s="35"/>
      <c r="I363" s="31"/>
      <c r="J363" s="155">
        <v>0</v>
      </c>
    </row>
    <row r="364" spans="1:10" ht="15" hidden="1" thickBot="1" x14ac:dyDescent="0.35">
      <c r="A364" s="228"/>
      <c r="B364" s="225"/>
      <c r="C364" s="36"/>
      <c r="D364" s="36"/>
      <c r="E364" s="37"/>
      <c r="F364" s="31" t="s">
        <v>560</v>
      </c>
      <c r="G364" s="31" t="str">
        <f t="shared" si="5"/>
        <v/>
      </c>
      <c r="H364" s="35"/>
      <c r="I364" s="31"/>
      <c r="J364" s="155">
        <v>0</v>
      </c>
    </row>
    <row r="365" spans="1:10" ht="15" hidden="1" thickBot="1" x14ac:dyDescent="0.35">
      <c r="A365" s="226" t="s">
        <v>149</v>
      </c>
      <c r="B365" s="223" t="e">
        <f>INDEX(#REF!,MATCH(Composições!A365,#REF!,0),2)</f>
        <v>#REF!</v>
      </c>
      <c r="C365" s="41"/>
      <c r="D365" s="26" t="e">
        <f>TRIM(INDEX(#REF!,MATCH(Composições!A365,#REF!,0),1))</f>
        <v>#REF!</v>
      </c>
      <c r="E365" s="27"/>
      <c r="F365" s="42" t="s">
        <v>560</v>
      </c>
      <c r="G365" s="28" t="str">
        <f t="shared" si="5"/>
        <v/>
      </c>
      <c r="H365" s="29"/>
      <c r="I365" s="30"/>
      <c r="J365" s="155">
        <v>0</v>
      </c>
    </row>
    <row r="366" spans="1:10" ht="15" hidden="1" thickBot="1" x14ac:dyDescent="0.35">
      <c r="A366" s="229"/>
      <c r="B366" s="224"/>
      <c r="C366" s="32"/>
      <c r="D366" s="32"/>
      <c r="E366" s="33"/>
      <c r="F366" s="43" t="s">
        <v>560</v>
      </c>
      <c r="G366" s="31" t="str">
        <f t="shared" si="5"/>
        <v/>
      </c>
      <c r="H366" s="35"/>
      <c r="I366" s="31"/>
      <c r="J366" s="155">
        <v>0</v>
      </c>
    </row>
    <row r="367" spans="1:10" ht="27" hidden="1" thickBot="1" x14ac:dyDescent="0.35">
      <c r="A367" s="229"/>
      <c r="B367" s="224"/>
      <c r="C367" s="36" t="s">
        <v>150</v>
      </c>
      <c r="D367" s="36" t="s">
        <v>42</v>
      </c>
      <c r="E367" s="37">
        <v>3.2</v>
      </c>
      <c r="F367" s="34">
        <v>2.6094999999999997</v>
      </c>
      <c r="G367" s="31">
        <f t="shared" si="5"/>
        <v>8.3503999999999987</v>
      </c>
      <c r="H367" s="39">
        <f>SUM(G367:G369)</f>
        <v>21.082107999999998</v>
      </c>
      <c r="I367" s="40"/>
      <c r="J367" s="155">
        <v>0</v>
      </c>
    </row>
    <row r="368" spans="1:10" ht="15" hidden="1" thickBot="1" x14ac:dyDescent="0.35">
      <c r="A368" s="229"/>
      <c r="B368" s="224"/>
      <c r="C368" s="36" t="s">
        <v>50</v>
      </c>
      <c r="D368" s="50" t="s">
        <v>12</v>
      </c>
      <c r="E368" s="37">
        <v>0.108</v>
      </c>
      <c r="F368" s="31">
        <v>17.815999999999999</v>
      </c>
      <c r="G368" s="31">
        <f t="shared" si="5"/>
        <v>1.9241279999999998</v>
      </c>
      <c r="H368" s="35"/>
      <c r="I368" s="31"/>
      <c r="J368" s="155">
        <v>0</v>
      </c>
    </row>
    <row r="369" spans="1:10" ht="15" hidden="1" thickBot="1" x14ac:dyDescent="0.35">
      <c r="A369" s="229"/>
      <c r="B369" s="224"/>
      <c r="C369" s="36" t="s">
        <v>151</v>
      </c>
      <c r="D369" s="50" t="s">
        <v>12</v>
      </c>
      <c r="E369" s="37">
        <v>0.53200000000000003</v>
      </c>
      <c r="F369" s="31">
        <v>20.314999999999998</v>
      </c>
      <c r="G369" s="31">
        <f t="shared" si="5"/>
        <v>10.80758</v>
      </c>
      <c r="H369" s="35"/>
      <c r="I369" s="31"/>
      <c r="J369" s="155">
        <v>0</v>
      </c>
    </row>
    <row r="370" spans="1:10" ht="15" hidden="1" thickBot="1" x14ac:dyDescent="0.35">
      <c r="A370" s="230"/>
      <c r="B370" s="225"/>
      <c r="C370" s="36"/>
      <c r="D370" s="36"/>
      <c r="E370" s="37"/>
      <c r="F370" s="31" t="s">
        <v>560</v>
      </c>
      <c r="G370" s="31" t="str">
        <f t="shared" si="5"/>
        <v/>
      </c>
      <c r="H370" s="35"/>
      <c r="I370" s="31"/>
      <c r="J370" s="155">
        <v>0</v>
      </c>
    </row>
    <row r="371" spans="1:10" ht="15" thickBot="1" x14ac:dyDescent="0.35">
      <c r="A371" s="226" t="s">
        <v>152</v>
      </c>
      <c r="B371" s="223" t="str">
        <f>INDEX(Orçamentária!A:B,MATCH(Composições!A371,Orçamentária!A:A,0),2)</f>
        <v>Alvenaria de vedação</v>
      </c>
      <c r="C371" s="41"/>
      <c r="D371" s="26" t="str">
        <f>TRIM(INDEX(Orçamentária!C:C,MATCH(Composições!A371,Orçamentária!A:A,0),1))</f>
        <v>m2</v>
      </c>
      <c r="E371" s="27"/>
      <c r="F371" s="42" t="s">
        <v>560</v>
      </c>
      <c r="G371" s="28" t="str">
        <f t="shared" si="5"/>
        <v/>
      </c>
      <c r="H371" s="29"/>
      <c r="I371" s="30"/>
      <c r="J371" s="155">
        <v>151.19999999999999</v>
      </c>
    </row>
    <row r="372" spans="1:10" x14ac:dyDescent="0.3">
      <c r="A372" s="229"/>
      <c r="B372" s="224"/>
      <c r="C372" s="32"/>
      <c r="D372" s="32"/>
      <c r="E372" s="33"/>
      <c r="F372" s="43" t="s">
        <v>560</v>
      </c>
      <c r="G372" s="31" t="str">
        <f t="shared" si="5"/>
        <v/>
      </c>
      <c r="H372" s="35"/>
      <c r="I372" s="31"/>
      <c r="J372" s="155">
        <v>151.19999999999999</v>
      </c>
    </row>
    <row r="373" spans="1:10" ht="26.4" x14ac:dyDescent="0.3">
      <c r="A373" s="229"/>
      <c r="B373" s="224"/>
      <c r="C373" s="36" t="s">
        <v>1914</v>
      </c>
      <c r="D373" s="47" t="s">
        <v>153</v>
      </c>
      <c r="E373" s="37">
        <v>2.7900000000000001E-2</v>
      </c>
      <c r="F373" s="34">
        <v>697</v>
      </c>
      <c r="G373" s="34">
        <f t="shared" si="5"/>
        <v>19.446300000000001</v>
      </c>
      <c r="H373" s="39">
        <f>SUM(G373:G378)</f>
        <v>63.601239986177198</v>
      </c>
      <c r="I373" s="40"/>
      <c r="J373" s="155">
        <v>151.19999999999999</v>
      </c>
    </row>
    <row r="374" spans="1:10" ht="26.4" x14ac:dyDescent="0.3">
      <c r="A374" s="229"/>
      <c r="B374" s="224"/>
      <c r="C374" s="36" t="s">
        <v>154</v>
      </c>
      <c r="D374" s="47" t="s">
        <v>93</v>
      </c>
      <c r="E374" s="37">
        <v>0.42</v>
      </c>
      <c r="F374" s="34">
        <v>3.8505000000000003</v>
      </c>
      <c r="G374" s="34">
        <f t="shared" si="5"/>
        <v>1.61721</v>
      </c>
      <c r="H374" s="35"/>
      <c r="I374" s="31"/>
      <c r="J374" s="155">
        <v>151.19999999999999</v>
      </c>
    </row>
    <row r="375" spans="1:10" x14ac:dyDescent="0.3">
      <c r="A375" s="229"/>
      <c r="B375" s="224"/>
      <c r="C375" s="36" t="s">
        <v>155</v>
      </c>
      <c r="D375" s="47" t="s">
        <v>156</v>
      </c>
      <c r="E375" s="37">
        <v>5.0000000000000001E-3</v>
      </c>
      <c r="F375" s="34">
        <v>32.776000000000003</v>
      </c>
      <c r="G375" s="34">
        <f t="shared" si="5"/>
        <v>0.16388000000000003</v>
      </c>
      <c r="H375" s="35"/>
      <c r="I375" s="31"/>
      <c r="J375" s="155">
        <v>151.19999999999999</v>
      </c>
    </row>
    <row r="376" spans="1:10" ht="52.8" x14ac:dyDescent="0.3">
      <c r="A376" s="229"/>
      <c r="B376" s="224"/>
      <c r="C376" s="36" t="s">
        <v>157</v>
      </c>
      <c r="D376" s="47" t="s">
        <v>110</v>
      </c>
      <c r="E376" s="37">
        <v>9.7999999999999997E-3</v>
      </c>
      <c r="F376" s="34">
        <v>437.64055981399991</v>
      </c>
      <c r="G376" s="34">
        <f t="shared" si="5"/>
        <v>4.2888774861771992</v>
      </c>
      <c r="H376" s="35"/>
      <c r="I376" s="31"/>
      <c r="J376" s="155">
        <v>151.19999999999999</v>
      </c>
    </row>
    <row r="377" spans="1:10" x14ac:dyDescent="0.3">
      <c r="A377" s="229"/>
      <c r="B377" s="224"/>
      <c r="C377" s="36" t="s">
        <v>22</v>
      </c>
      <c r="D377" s="47" t="s">
        <v>12</v>
      </c>
      <c r="E377" s="37">
        <v>1.37</v>
      </c>
      <c r="F377" s="31">
        <v>20.314999999999998</v>
      </c>
      <c r="G377" s="31">
        <f t="shared" si="5"/>
        <v>27.83155</v>
      </c>
      <c r="H377" s="35"/>
      <c r="I377" s="31"/>
      <c r="J377" s="155">
        <v>151.19999999999999</v>
      </c>
    </row>
    <row r="378" spans="1:10" x14ac:dyDescent="0.3">
      <c r="A378" s="229"/>
      <c r="B378" s="224"/>
      <c r="C378" s="36" t="s">
        <v>23</v>
      </c>
      <c r="D378" s="47" t="s">
        <v>12</v>
      </c>
      <c r="E378" s="37">
        <v>0.68500000000000005</v>
      </c>
      <c r="F378" s="31">
        <v>14.968499999999999</v>
      </c>
      <c r="G378" s="31">
        <f t="shared" si="5"/>
        <v>10.253422499999999</v>
      </c>
      <c r="H378" s="35"/>
      <c r="I378" s="31"/>
      <c r="J378" s="155">
        <v>151.19999999999999</v>
      </c>
    </row>
    <row r="379" spans="1:10" ht="15" thickBot="1" x14ac:dyDescent="0.35">
      <c r="A379" s="230"/>
      <c r="B379" s="225"/>
      <c r="C379" s="36"/>
      <c r="D379" s="36"/>
      <c r="E379" s="37"/>
      <c r="F379" s="31" t="s">
        <v>560</v>
      </c>
      <c r="G379" s="31" t="str">
        <f t="shared" si="5"/>
        <v/>
      </c>
      <c r="H379" s="35"/>
      <c r="I379" s="31"/>
      <c r="J379" s="155">
        <v>151.19999999999999</v>
      </c>
    </row>
    <row r="380" spans="1:10" ht="15" hidden="1" thickBot="1" x14ac:dyDescent="0.35">
      <c r="A380" s="226" t="s">
        <v>158</v>
      </c>
      <c r="B380" s="223" t="e">
        <f>INDEX(#REF!,MATCH(Composições!A380,#REF!,0),2)</f>
        <v>#REF!</v>
      </c>
      <c r="C380" s="41"/>
      <c r="D380" s="26" t="e">
        <f>TRIM(INDEX(#REF!,MATCH(Composições!A380,#REF!,0),1))</f>
        <v>#REF!</v>
      </c>
      <c r="E380" s="27"/>
      <c r="F380" s="42" t="s">
        <v>560</v>
      </c>
      <c r="G380" s="28" t="str">
        <f t="shared" si="5"/>
        <v/>
      </c>
      <c r="H380" s="29"/>
      <c r="I380" s="30"/>
      <c r="J380" s="155">
        <v>0</v>
      </c>
    </row>
    <row r="381" spans="1:10" ht="15" hidden="1" thickBot="1" x14ac:dyDescent="0.35">
      <c r="A381" s="229"/>
      <c r="B381" s="224"/>
      <c r="C381" s="32"/>
      <c r="D381" s="32"/>
      <c r="E381" s="33"/>
      <c r="F381" s="43" t="s">
        <v>560</v>
      </c>
      <c r="G381" s="31" t="str">
        <f t="shared" si="5"/>
        <v/>
      </c>
      <c r="H381" s="35"/>
      <c r="I381" s="31"/>
      <c r="J381" s="155">
        <v>0</v>
      </c>
    </row>
    <row r="382" spans="1:10" ht="27" hidden="1" thickBot="1" x14ac:dyDescent="0.35">
      <c r="A382" s="229"/>
      <c r="B382" s="224"/>
      <c r="C382" s="36" t="s">
        <v>159</v>
      </c>
      <c r="D382" s="36" t="s">
        <v>156</v>
      </c>
      <c r="E382" s="37">
        <v>2.4299999999999999E-2</v>
      </c>
      <c r="F382" s="34">
        <v>38.122500000000002</v>
      </c>
      <c r="G382" s="34">
        <f t="shared" si="5"/>
        <v>0.92637674999999997</v>
      </c>
      <c r="H382" s="39">
        <f>SUM(G382:G392)</f>
        <v>45.099165699999993</v>
      </c>
      <c r="I382" s="40"/>
      <c r="J382" s="155">
        <v>0</v>
      </c>
    </row>
    <row r="383" spans="1:10" ht="27" hidden="1" thickBot="1" x14ac:dyDescent="0.35">
      <c r="A383" s="229"/>
      <c r="B383" s="224"/>
      <c r="C383" s="36" t="s">
        <v>2032</v>
      </c>
      <c r="D383" s="36" t="s">
        <v>95</v>
      </c>
      <c r="E383" s="37">
        <v>1.0529999999999999</v>
      </c>
      <c r="F383" s="34">
        <v>11.5345</v>
      </c>
      <c r="G383" s="34">
        <f t="shared" si="5"/>
        <v>12.145828499999999</v>
      </c>
      <c r="H383" s="45"/>
      <c r="I383" s="46"/>
      <c r="J383" s="155">
        <v>0</v>
      </c>
    </row>
    <row r="384" spans="1:10" ht="27" hidden="1" thickBot="1" x14ac:dyDescent="0.35">
      <c r="A384" s="229"/>
      <c r="B384" s="224"/>
      <c r="C384" s="36" t="s">
        <v>160</v>
      </c>
      <c r="D384" s="36" t="s">
        <v>93</v>
      </c>
      <c r="E384" s="37">
        <v>0.76039999999999996</v>
      </c>
      <c r="F384" s="34">
        <v>7.2249999999999996</v>
      </c>
      <c r="G384" s="34">
        <f t="shared" si="5"/>
        <v>5.4938899999999995</v>
      </c>
      <c r="H384" s="45"/>
      <c r="I384" s="46"/>
      <c r="J384" s="155">
        <v>0</v>
      </c>
    </row>
    <row r="385" spans="1:10" ht="27" hidden="1" thickBot="1" x14ac:dyDescent="0.35">
      <c r="A385" s="229"/>
      <c r="B385" s="224"/>
      <c r="C385" s="36" t="s">
        <v>161</v>
      </c>
      <c r="D385" s="36" t="s">
        <v>93</v>
      </c>
      <c r="E385" s="37">
        <v>1.9910000000000001</v>
      </c>
      <c r="F385" s="34">
        <v>8.1940000000000008</v>
      </c>
      <c r="G385" s="34">
        <f t="shared" si="5"/>
        <v>16.314254000000002</v>
      </c>
      <c r="H385" s="45"/>
      <c r="I385" s="46"/>
      <c r="J385" s="155">
        <v>0</v>
      </c>
    </row>
    <row r="386" spans="1:10" ht="27" hidden="1" thickBot="1" x14ac:dyDescent="0.35">
      <c r="A386" s="229"/>
      <c r="B386" s="224"/>
      <c r="C386" s="36" t="s">
        <v>162</v>
      </c>
      <c r="D386" s="36" t="s">
        <v>93</v>
      </c>
      <c r="E386" s="37">
        <v>1.2513000000000001</v>
      </c>
      <c r="F386" s="34">
        <v>0.1275</v>
      </c>
      <c r="G386" s="34">
        <f t="shared" si="5"/>
        <v>0.15954075000000001</v>
      </c>
      <c r="H386" s="45"/>
      <c r="I386" s="46"/>
      <c r="J386" s="155">
        <v>0</v>
      </c>
    </row>
    <row r="387" spans="1:10" ht="27" hidden="1" thickBot="1" x14ac:dyDescent="0.35">
      <c r="A387" s="229"/>
      <c r="B387" s="224"/>
      <c r="C387" s="36" t="s">
        <v>163</v>
      </c>
      <c r="D387" s="36" t="s">
        <v>93</v>
      </c>
      <c r="E387" s="37">
        <v>0.74070000000000003</v>
      </c>
      <c r="F387" s="34">
        <v>1.7084999999999997</v>
      </c>
      <c r="G387" s="34">
        <f t="shared" si="5"/>
        <v>1.2654859499999997</v>
      </c>
      <c r="H387" s="45"/>
      <c r="I387" s="46"/>
      <c r="J387" s="155">
        <v>0</v>
      </c>
    </row>
    <row r="388" spans="1:10" ht="40.200000000000003" hidden="1" thickBot="1" x14ac:dyDescent="0.35">
      <c r="A388" s="229"/>
      <c r="B388" s="224"/>
      <c r="C388" s="36" t="s">
        <v>2029</v>
      </c>
      <c r="D388" s="36" t="s">
        <v>42</v>
      </c>
      <c r="E388" s="37">
        <v>0.51639999999999997</v>
      </c>
      <c r="F388" s="34">
        <v>2.2949999999999999</v>
      </c>
      <c r="G388" s="34">
        <f t="shared" si="5"/>
        <v>1.1851379999999998</v>
      </c>
      <c r="H388" s="45"/>
      <c r="I388" s="46"/>
      <c r="J388" s="155">
        <v>0</v>
      </c>
    </row>
    <row r="389" spans="1:10" ht="27" hidden="1" thickBot="1" x14ac:dyDescent="0.35">
      <c r="A389" s="229"/>
      <c r="B389" s="224"/>
      <c r="C389" s="36" t="s">
        <v>164</v>
      </c>
      <c r="D389" s="36" t="s">
        <v>20</v>
      </c>
      <c r="E389" s="37">
        <v>10.0039</v>
      </c>
      <c r="F389" s="34">
        <v>5.0999999999999997E-2</v>
      </c>
      <c r="G389" s="34">
        <f t="shared" si="5"/>
        <v>0.51019890000000001</v>
      </c>
      <c r="H389" s="45"/>
      <c r="I389" s="46"/>
      <c r="J389" s="155">
        <v>0</v>
      </c>
    </row>
    <row r="390" spans="1:10" ht="27" hidden="1" thickBot="1" x14ac:dyDescent="0.35">
      <c r="A390" s="229"/>
      <c r="B390" s="224"/>
      <c r="C390" s="36" t="s">
        <v>165</v>
      </c>
      <c r="D390" s="36" t="s">
        <v>20</v>
      </c>
      <c r="E390" s="37">
        <v>0.80759999999999998</v>
      </c>
      <c r="F390" s="34">
        <v>0.13600000000000001</v>
      </c>
      <c r="G390" s="34">
        <f t="shared" ref="G390:G453" si="6">IF(ISNUMBER(F390),E390*F390,"")</f>
        <v>0.1098336</v>
      </c>
      <c r="H390" s="45"/>
      <c r="I390" s="46"/>
      <c r="J390" s="155">
        <v>0</v>
      </c>
    </row>
    <row r="391" spans="1:10" ht="15" hidden="1" thickBot="1" x14ac:dyDescent="0.35">
      <c r="A391" s="229"/>
      <c r="B391" s="224"/>
      <c r="C391" s="36" t="s">
        <v>27</v>
      </c>
      <c r="D391" s="36" t="s">
        <v>12</v>
      </c>
      <c r="E391" s="37">
        <v>0.36359999999999998</v>
      </c>
      <c r="F391" s="31">
        <v>15.4785</v>
      </c>
      <c r="G391" s="34">
        <f t="shared" si="6"/>
        <v>5.6279826000000002</v>
      </c>
      <c r="H391" s="45"/>
      <c r="I391" s="46"/>
      <c r="J391" s="155">
        <v>0</v>
      </c>
    </row>
    <row r="392" spans="1:10" ht="15" hidden="1" thickBot="1" x14ac:dyDescent="0.35">
      <c r="A392" s="229"/>
      <c r="B392" s="224"/>
      <c r="C392" s="36" t="s">
        <v>23</v>
      </c>
      <c r="D392" s="36" t="s">
        <v>12</v>
      </c>
      <c r="E392" s="37">
        <v>9.0899999999999995E-2</v>
      </c>
      <c r="F392" s="31">
        <v>14.968499999999999</v>
      </c>
      <c r="G392" s="34">
        <f t="shared" si="6"/>
        <v>1.3606366499999998</v>
      </c>
      <c r="H392" s="45"/>
      <c r="I392" s="46"/>
      <c r="J392" s="155">
        <v>0</v>
      </c>
    </row>
    <row r="393" spans="1:10" ht="15" hidden="1" thickBot="1" x14ac:dyDescent="0.35">
      <c r="A393" s="230"/>
      <c r="B393" s="225"/>
      <c r="C393" s="36"/>
      <c r="D393" s="36"/>
      <c r="E393" s="37"/>
      <c r="F393" s="31" t="s">
        <v>560</v>
      </c>
      <c r="G393" s="31" t="str">
        <f t="shared" si="6"/>
        <v/>
      </c>
      <c r="H393" s="35"/>
      <c r="I393" s="31"/>
      <c r="J393" s="155">
        <v>0</v>
      </c>
    </row>
    <row r="394" spans="1:10" ht="15" thickBot="1" x14ac:dyDescent="0.35">
      <c r="A394" s="226" t="s">
        <v>166</v>
      </c>
      <c r="B394" s="223" t="str">
        <f>INDEX(Orçamentária!A:B,MATCH(Composições!A394,Orçamentária!A:A,0),2)</f>
        <v>Fixação (encunhamento) de Alvenaria de Vedação</v>
      </c>
      <c r="C394" s="41"/>
      <c r="D394" s="26" t="str">
        <f>TRIM(INDEX(Orçamentária!C:C,MATCH(Composições!A394,Orçamentária!A:A,0),1))</f>
        <v>m</v>
      </c>
      <c r="E394" s="27"/>
      <c r="F394" s="42" t="s">
        <v>560</v>
      </c>
      <c r="G394" s="28" t="str">
        <f t="shared" si="6"/>
        <v/>
      </c>
      <c r="H394" s="29"/>
      <c r="I394" s="30"/>
      <c r="J394" s="155">
        <v>94</v>
      </c>
    </row>
    <row r="395" spans="1:10" x14ac:dyDescent="0.3">
      <c r="A395" s="229"/>
      <c r="B395" s="224"/>
      <c r="C395" s="32"/>
      <c r="D395" s="32"/>
      <c r="E395" s="33"/>
      <c r="F395" s="43" t="s">
        <v>560</v>
      </c>
      <c r="G395" s="31" t="str">
        <f t="shared" si="6"/>
        <v/>
      </c>
      <c r="H395" s="35"/>
      <c r="I395" s="31"/>
      <c r="J395" s="155">
        <v>94</v>
      </c>
    </row>
    <row r="396" spans="1:10" x14ac:dyDescent="0.3">
      <c r="A396" s="229"/>
      <c r="B396" s="224"/>
      <c r="C396" s="36" t="s">
        <v>1924</v>
      </c>
      <c r="D396" s="47" t="s">
        <v>20</v>
      </c>
      <c r="E396" s="37">
        <v>11.2</v>
      </c>
      <c r="F396" s="34">
        <v>0.59499999999999997</v>
      </c>
      <c r="G396" s="31">
        <f t="shared" si="6"/>
        <v>6.6639999999999997</v>
      </c>
      <c r="H396" s="39">
        <f>SUM(G396:G399)</f>
        <v>21.185355353464399</v>
      </c>
      <c r="I396" s="40"/>
      <c r="J396" s="155">
        <v>94</v>
      </c>
    </row>
    <row r="397" spans="1:10" ht="52.8" x14ac:dyDescent="0.3">
      <c r="A397" s="229"/>
      <c r="B397" s="224"/>
      <c r="C397" s="36" t="s">
        <v>167</v>
      </c>
      <c r="D397" s="47" t="s">
        <v>110</v>
      </c>
      <c r="E397" s="37">
        <v>5.1999999999999998E-3</v>
      </c>
      <c r="F397" s="34">
        <v>420.780644897</v>
      </c>
      <c r="G397" s="31">
        <f t="shared" si="6"/>
        <v>2.1880593534643999</v>
      </c>
      <c r="H397" s="45"/>
      <c r="I397" s="46"/>
      <c r="J397" s="155">
        <v>94</v>
      </c>
    </row>
    <row r="398" spans="1:10" x14ac:dyDescent="0.3">
      <c r="A398" s="229"/>
      <c r="B398" s="224"/>
      <c r="C398" s="36" t="s">
        <v>22</v>
      </c>
      <c r="D398" s="47" t="s">
        <v>12</v>
      </c>
      <c r="E398" s="37">
        <v>0.52900000000000003</v>
      </c>
      <c r="F398" s="31">
        <v>20.314999999999998</v>
      </c>
      <c r="G398" s="31">
        <f t="shared" si="6"/>
        <v>10.746634999999999</v>
      </c>
      <c r="H398" s="45"/>
      <c r="I398" s="46"/>
      <c r="J398" s="155">
        <v>94</v>
      </c>
    </row>
    <row r="399" spans="1:10" x14ac:dyDescent="0.3">
      <c r="A399" s="229"/>
      <c r="B399" s="224"/>
      <c r="C399" s="36" t="s">
        <v>23</v>
      </c>
      <c r="D399" s="47" t="s">
        <v>12</v>
      </c>
      <c r="E399" s="37">
        <v>0.106</v>
      </c>
      <c r="F399" s="31">
        <v>14.968499999999999</v>
      </c>
      <c r="G399" s="31">
        <f t="shared" si="6"/>
        <v>1.5866609999999999</v>
      </c>
      <c r="H399" s="45"/>
      <c r="I399" s="46"/>
      <c r="J399" s="155">
        <v>94</v>
      </c>
    </row>
    <row r="400" spans="1:10" ht="15" thickBot="1" x14ac:dyDescent="0.35">
      <c r="A400" s="229"/>
      <c r="B400" s="224"/>
      <c r="C400" s="36"/>
      <c r="D400" s="47"/>
      <c r="E400" s="37"/>
      <c r="F400" s="34" t="s">
        <v>560</v>
      </c>
      <c r="G400" s="34" t="str">
        <f t="shared" si="6"/>
        <v/>
      </c>
      <c r="H400" s="45"/>
      <c r="I400" s="46"/>
      <c r="J400" s="155">
        <v>94</v>
      </c>
    </row>
    <row r="401" spans="1:10" ht="15" hidden="1" thickBot="1" x14ac:dyDescent="0.35">
      <c r="A401" s="226" t="s">
        <v>168</v>
      </c>
      <c r="B401" s="223" t="e">
        <f>INDEX(#REF!,MATCH(Composições!A401,#REF!,0),2)</f>
        <v>#REF!</v>
      </c>
      <c r="C401" s="41"/>
      <c r="D401" s="26" t="e">
        <f>TRIM(INDEX(#REF!,MATCH(Composições!A401,#REF!,0),1))</f>
        <v>#REF!</v>
      </c>
      <c r="E401" s="27"/>
      <c r="F401" s="42" t="s">
        <v>560</v>
      </c>
      <c r="G401" s="28" t="str">
        <f t="shared" si="6"/>
        <v/>
      </c>
      <c r="H401" s="29"/>
      <c r="I401" s="30"/>
      <c r="J401" s="155">
        <v>0</v>
      </c>
    </row>
    <row r="402" spans="1:10" ht="15" hidden="1" thickBot="1" x14ac:dyDescent="0.35">
      <c r="A402" s="229"/>
      <c r="B402" s="224"/>
      <c r="C402" s="32"/>
      <c r="D402" s="32"/>
      <c r="E402" s="33"/>
      <c r="F402" s="43" t="s">
        <v>560</v>
      </c>
      <c r="G402" s="31" t="str">
        <f t="shared" si="6"/>
        <v/>
      </c>
      <c r="H402" s="35"/>
      <c r="I402" s="31"/>
      <c r="J402" s="155">
        <v>0</v>
      </c>
    </row>
    <row r="403" spans="1:10" ht="27" hidden="1" thickBot="1" x14ac:dyDescent="0.35">
      <c r="A403" s="229"/>
      <c r="B403" s="224"/>
      <c r="C403" s="36" t="s">
        <v>169</v>
      </c>
      <c r="D403" s="47" t="s">
        <v>156</v>
      </c>
      <c r="E403" s="37">
        <v>2.4299999999999999E-2</v>
      </c>
      <c r="F403" s="34">
        <v>38.122500000000002</v>
      </c>
      <c r="G403" s="31">
        <f t="shared" si="6"/>
        <v>0.92637674999999997</v>
      </c>
      <c r="H403" s="39">
        <f>SUM(G403:G413)</f>
        <v>62.583975100000004</v>
      </c>
      <c r="I403" s="40"/>
      <c r="J403" s="155">
        <v>0</v>
      </c>
    </row>
    <row r="404" spans="1:10" ht="27" hidden="1" thickBot="1" x14ac:dyDescent="0.35">
      <c r="A404" s="229"/>
      <c r="B404" s="224"/>
      <c r="C404" s="36" t="s">
        <v>2032</v>
      </c>
      <c r="D404" s="47" t="s">
        <v>95</v>
      </c>
      <c r="E404" s="37">
        <v>2.1059999999999999</v>
      </c>
      <c r="F404" s="34">
        <v>11.5345</v>
      </c>
      <c r="G404" s="31">
        <f t="shared" si="6"/>
        <v>24.291656999999997</v>
      </c>
      <c r="H404" s="35"/>
      <c r="I404" s="31"/>
      <c r="J404" s="155">
        <v>0</v>
      </c>
    </row>
    <row r="405" spans="1:10" ht="27" hidden="1" thickBot="1" x14ac:dyDescent="0.35">
      <c r="A405" s="229"/>
      <c r="B405" s="224"/>
      <c r="C405" s="36" t="s">
        <v>170</v>
      </c>
      <c r="D405" s="47" t="s">
        <v>93</v>
      </c>
      <c r="E405" s="37">
        <v>0.76039999999999996</v>
      </c>
      <c r="F405" s="34">
        <v>7.2249999999999996</v>
      </c>
      <c r="G405" s="31">
        <f t="shared" si="6"/>
        <v>5.4938899999999995</v>
      </c>
      <c r="H405" s="35"/>
      <c r="I405" s="31"/>
      <c r="J405" s="155">
        <v>0</v>
      </c>
    </row>
    <row r="406" spans="1:10" ht="27" hidden="1" thickBot="1" x14ac:dyDescent="0.35">
      <c r="A406" s="229"/>
      <c r="B406" s="224"/>
      <c r="C406" s="36" t="s">
        <v>171</v>
      </c>
      <c r="D406" s="47" t="s">
        <v>93</v>
      </c>
      <c r="E406" s="37">
        <v>1.9910000000000001</v>
      </c>
      <c r="F406" s="34">
        <v>8.1940000000000008</v>
      </c>
      <c r="G406" s="31">
        <f t="shared" si="6"/>
        <v>16.314254000000002</v>
      </c>
      <c r="H406" s="35"/>
      <c r="I406" s="31"/>
      <c r="J406" s="155">
        <v>0</v>
      </c>
    </row>
    <row r="407" spans="1:10" ht="27" hidden="1" thickBot="1" x14ac:dyDescent="0.35">
      <c r="A407" s="229"/>
      <c r="B407" s="224"/>
      <c r="C407" s="36" t="s">
        <v>172</v>
      </c>
      <c r="D407" s="47" t="s">
        <v>93</v>
      </c>
      <c r="E407" s="37">
        <v>2.5026999999999999</v>
      </c>
      <c r="F407" s="34">
        <v>0.1275</v>
      </c>
      <c r="G407" s="31">
        <f t="shared" si="6"/>
        <v>0.31909425000000002</v>
      </c>
      <c r="H407" s="35"/>
      <c r="I407" s="31"/>
      <c r="J407" s="155">
        <v>0</v>
      </c>
    </row>
    <row r="408" spans="1:10" ht="27" hidden="1" thickBot="1" x14ac:dyDescent="0.35">
      <c r="A408" s="229"/>
      <c r="B408" s="224"/>
      <c r="C408" s="36" t="s">
        <v>173</v>
      </c>
      <c r="D408" s="47" t="s">
        <v>93</v>
      </c>
      <c r="E408" s="37">
        <v>0.74070000000000003</v>
      </c>
      <c r="F408" s="34">
        <v>1.7084999999999997</v>
      </c>
      <c r="G408" s="31">
        <f t="shared" si="6"/>
        <v>1.2654859499999997</v>
      </c>
      <c r="H408" s="35"/>
      <c r="I408" s="31"/>
      <c r="J408" s="155">
        <v>0</v>
      </c>
    </row>
    <row r="409" spans="1:10" ht="40.200000000000003" hidden="1" thickBot="1" x14ac:dyDescent="0.35">
      <c r="A409" s="229"/>
      <c r="B409" s="224"/>
      <c r="C409" s="36" t="s">
        <v>2029</v>
      </c>
      <c r="D409" s="47" t="s">
        <v>42</v>
      </c>
      <c r="E409" s="37">
        <v>1.0327</v>
      </c>
      <c r="F409" s="34">
        <v>2.2949999999999999</v>
      </c>
      <c r="G409" s="31">
        <f t="shared" si="6"/>
        <v>2.3700464999999999</v>
      </c>
      <c r="H409" s="35"/>
      <c r="I409" s="31"/>
      <c r="J409" s="155">
        <v>0</v>
      </c>
    </row>
    <row r="410" spans="1:10" ht="27" hidden="1" thickBot="1" x14ac:dyDescent="0.35">
      <c r="A410" s="229"/>
      <c r="B410" s="224"/>
      <c r="C410" s="36" t="s">
        <v>174</v>
      </c>
      <c r="D410" s="47" t="s">
        <v>20</v>
      </c>
      <c r="E410" s="37">
        <v>20.0077</v>
      </c>
      <c r="F410" s="34">
        <v>5.0999999999999997E-2</v>
      </c>
      <c r="G410" s="31">
        <f t="shared" si="6"/>
        <v>1.0203926999999999</v>
      </c>
      <c r="H410" s="35"/>
      <c r="I410" s="31"/>
      <c r="J410" s="155">
        <v>0</v>
      </c>
    </row>
    <row r="411" spans="1:10" ht="27" hidden="1" thickBot="1" x14ac:dyDescent="0.35">
      <c r="A411" s="229"/>
      <c r="B411" s="224"/>
      <c r="C411" s="36" t="s">
        <v>175</v>
      </c>
      <c r="D411" s="47" t="s">
        <v>20</v>
      </c>
      <c r="E411" s="37">
        <v>0.80759999999999998</v>
      </c>
      <c r="F411" s="34">
        <v>0.13600000000000001</v>
      </c>
      <c r="G411" s="31">
        <f t="shared" si="6"/>
        <v>0.1098336</v>
      </c>
      <c r="H411" s="35"/>
      <c r="I411" s="31"/>
      <c r="J411" s="155">
        <v>0</v>
      </c>
    </row>
    <row r="412" spans="1:10" ht="15" hidden="1" thickBot="1" x14ac:dyDescent="0.35">
      <c r="A412" s="229"/>
      <c r="B412" s="224"/>
      <c r="C412" s="36" t="s">
        <v>27</v>
      </c>
      <c r="D412" s="47" t="s">
        <v>12</v>
      </c>
      <c r="E412" s="37">
        <v>0.54490000000000005</v>
      </c>
      <c r="F412" s="31">
        <v>15.4785</v>
      </c>
      <c r="G412" s="31">
        <f t="shared" si="6"/>
        <v>8.4342346500000005</v>
      </c>
      <c r="H412" s="35"/>
      <c r="I412" s="31"/>
      <c r="J412" s="155">
        <v>0</v>
      </c>
    </row>
    <row r="413" spans="1:10" ht="15" hidden="1" thickBot="1" x14ac:dyDescent="0.35">
      <c r="A413" s="229"/>
      <c r="B413" s="224"/>
      <c r="C413" s="36" t="s">
        <v>23</v>
      </c>
      <c r="D413" s="47" t="s">
        <v>12</v>
      </c>
      <c r="E413" s="37">
        <v>0.13619999999999999</v>
      </c>
      <c r="F413" s="31">
        <v>14.968499999999999</v>
      </c>
      <c r="G413" s="31">
        <f t="shared" si="6"/>
        <v>2.0387096999999996</v>
      </c>
      <c r="H413" s="35"/>
      <c r="I413" s="31"/>
      <c r="J413" s="155">
        <v>0</v>
      </c>
    </row>
    <row r="414" spans="1:10" ht="15" hidden="1" thickBot="1" x14ac:dyDescent="0.35">
      <c r="A414" s="230"/>
      <c r="B414" s="225"/>
      <c r="C414" s="36"/>
      <c r="D414" s="36"/>
      <c r="E414" s="37"/>
      <c r="F414" s="31" t="s">
        <v>560</v>
      </c>
      <c r="G414" s="31" t="str">
        <f t="shared" si="6"/>
        <v/>
      </c>
      <c r="H414" s="35"/>
      <c r="I414" s="31"/>
      <c r="J414" s="155">
        <v>0</v>
      </c>
    </row>
    <row r="415" spans="1:10" ht="15" hidden="1" thickBot="1" x14ac:dyDescent="0.35">
      <c r="A415" s="226" t="s">
        <v>176</v>
      </c>
      <c r="B415" s="223" t="e">
        <f>INDEX(#REF!,MATCH(Composições!A415,#REF!,0),2)</f>
        <v>#REF!</v>
      </c>
      <c r="C415" s="41"/>
      <c r="D415" s="26" t="e">
        <f>TRIM(INDEX(#REF!,MATCH(Composições!A415,#REF!,0),1))</f>
        <v>#REF!</v>
      </c>
      <c r="E415" s="27"/>
      <c r="F415" s="42" t="s">
        <v>560</v>
      </c>
      <c r="G415" s="28" t="str">
        <f t="shared" si="6"/>
        <v/>
      </c>
      <c r="H415" s="29"/>
      <c r="I415" s="30"/>
      <c r="J415" s="155">
        <v>0</v>
      </c>
    </row>
    <row r="416" spans="1:10" ht="15" hidden="1" thickBot="1" x14ac:dyDescent="0.35">
      <c r="A416" s="229"/>
      <c r="B416" s="224"/>
      <c r="C416" s="32"/>
      <c r="D416" s="32"/>
      <c r="E416" s="33"/>
      <c r="F416" s="43" t="s">
        <v>560</v>
      </c>
      <c r="G416" s="31" t="str">
        <f t="shared" si="6"/>
        <v/>
      </c>
      <c r="H416" s="35"/>
      <c r="I416" s="31"/>
      <c r="J416" s="155">
        <v>0</v>
      </c>
    </row>
    <row r="417" spans="1:10" ht="27" hidden="1" thickBot="1" x14ac:dyDescent="0.35">
      <c r="A417" s="229"/>
      <c r="B417" s="224"/>
      <c r="C417" s="36" t="s">
        <v>172</v>
      </c>
      <c r="D417" s="47" t="s">
        <v>93</v>
      </c>
      <c r="E417" s="37">
        <v>1.2513000000000001</v>
      </c>
      <c r="F417" s="34">
        <v>0.1275</v>
      </c>
      <c r="G417" s="31">
        <f t="shared" si="6"/>
        <v>0.15954075000000001</v>
      </c>
      <c r="H417" s="39">
        <f>SUM(G417:G420)</f>
        <v>4.1726695500000002</v>
      </c>
      <c r="I417" s="40"/>
      <c r="J417" s="155">
        <v>0</v>
      </c>
    </row>
    <row r="418" spans="1:10" ht="40.200000000000003" hidden="1" thickBot="1" x14ac:dyDescent="0.35">
      <c r="A418" s="229"/>
      <c r="B418" s="224"/>
      <c r="C418" s="36" t="s">
        <v>2029</v>
      </c>
      <c r="D418" s="47" t="s">
        <v>42</v>
      </c>
      <c r="E418" s="37">
        <v>0.51639999999999997</v>
      </c>
      <c r="F418" s="34">
        <v>2.2949999999999999</v>
      </c>
      <c r="G418" s="31">
        <f t="shared" si="6"/>
        <v>1.1851379999999998</v>
      </c>
      <c r="H418" s="45"/>
      <c r="I418" s="46"/>
      <c r="J418" s="155">
        <v>0</v>
      </c>
    </row>
    <row r="419" spans="1:10" ht="15" hidden="1" thickBot="1" x14ac:dyDescent="0.35">
      <c r="A419" s="229"/>
      <c r="B419" s="224"/>
      <c r="C419" s="36" t="s">
        <v>27</v>
      </c>
      <c r="D419" s="47" t="s">
        <v>12</v>
      </c>
      <c r="E419" s="37">
        <f>0.3636/3</f>
        <v>0.12119999999999999</v>
      </c>
      <c r="F419" s="31">
        <v>15.4785</v>
      </c>
      <c r="G419" s="31">
        <f t="shared" si="6"/>
        <v>1.8759941999999998</v>
      </c>
      <c r="H419" s="45"/>
      <c r="I419" s="46"/>
      <c r="J419" s="155">
        <v>0</v>
      </c>
    </row>
    <row r="420" spans="1:10" ht="15" hidden="1" thickBot="1" x14ac:dyDescent="0.35">
      <c r="A420" s="229"/>
      <c r="B420" s="224"/>
      <c r="C420" s="36" t="s">
        <v>23</v>
      </c>
      <c r="D420" s="47" t="s">
        <v>12</v>
      </c>
      <c r="E420" s="37">
        <f>ROUND(0.0909*0.7,4)</f>
        <v>6.3600000000000004E-2</v>
      </c>
      <c r="F420" s="31">
        <v>14.968499999999999</v>
      </c>
      <c r="G420" s="31">
        <f t="shared" si="6"/>
        <v>0.95199659999999997</v>
      </c>
      <c r="H420" s="45"/>
      <c r="I420" s="46"/>
      <c r="J420" s="155">
        <v>0</v>
      </c>
    </row>
    <row r="421" spans="1:10" ht="15" hidden="1" thickBot="1" x14ac:dyDescent="0.35">
      <c r="A421" s="229"/>
      <c r="B421" s="224"/>
      <c r="C421" s="36"/>
      <c r="D421" s="47"/>
      <c r="E421" s="37"/>
      <c r="F421" s="34" t="s">
        <v>560</v>
      </c>
      <c r="G421" s="34" t="str">
        <f t="shared" si="6"/>
        <v/>
      </c>
      <c r="H421" s="45"/>
      <c r="I421" s="46"/>
      <c r="J421" s="155">
        <v>0</v>
      </c>
    </row>
    <row r="422" spans="1:10" ht="15" hidden="1" thickBot="1" x14ac:dyDescent="0.35">
      <c r="A422" s="226" t="s">
        <v>177</v>
      </c>
      <c r="B422" s="223" t="e">
        <f>INDEX(#REF!,MATCH(Composições!A422,#REF!,0),2)</f>
        <v>#REF!</v>
      </c>
      <c r="C422" s="41"/>
      <c r="D422" s="26" t="e">
        <f>TRIM(INDEX(#REF!,MATCH(Composições!A422,#REF!,0),1))</f>
        <v>#REF!</v>
      </c>
      <c r="E422" s="27"/>
      <c r="F422" s="42" t="s">
        <v>560</v>
      </c>
      <c r="G422" s="28" t="str">
        <f t="shared" si="6"/>
        <v/>
      </c>
      <c r="H422" s="29"/>
      <c r="I422" s="30"/>
      <c r="J422" s="155">
        <v>0</v>
      </c>
    </row>
    <row r="423" spans="1:10" ht="15" hidden="1" thickBot="1" x14ac:dyDescent="0.35">
      <c r="A423" s="229"/>
      <c r="B423" s="224"/>
      <c r="C423" s="32"/>
      <c r="D423" s="32"/>
      <c r="E423" s="33"/>
      <c r="F423" s="43" t="s">
        <v>560</v>
      </c>
      <c r="G423" s="31" t="str">
        <f t="shared" si="6"/>
        <v/>
      </c>
      <c r="H423" s="35"/>
      <c r="I423" s="31"/>
      <c r="J423" s="155">
        <v>0</v>
      </c>
    </row>
    <row r="424" spans="1:10" ht="27" hidden="1" thickBot="1" x14ac:dyDescent="0.35">
      <c r="A424" s="229"/>
      <c r="B424" s="224"/>
      <c r="C424" s="36" t="s">
        <v>154</v>
      </c>
      <c r="D424" s="47" t="s">
        <v>93</v>
      </c>
      <c r="E424" s="37">
        <v>0.78500000000000003</v>
      </c>
      <c r="F424" s="34">
        <v>3.8505000000000003</v>
      </c>
      <c r="G424" s="34">
        <f t="shared" si="6"/>
        <v>3.0226425000000003</v>
      </c>
      <c r="H424" s="39">
        <f>SUM(G424:G432)</f>
        <v>69.506839646103785</v>
      </c>
      <c r="I424" s="40"/>
      <c r="J424" s="155">
        <v>0</v>
      </c>
    </row>
    <row r="425" spans="1:10" ht="15" hidden="1" thickBot="1" x14ac:dyDescent="0.35">
      <c r="A425" s="229"/>
      <c r="B425" s="224"/>
      <c r="C425" s="36" t="s">
        <v>155</v>
      </c>
      <c r="D425" s="47" t="s">
        <v>156</v>
      </c>
      <c r="E425" s="37">
        <v>9.4000000000000004E-3</v>
      </c>
      <c r="F425" s="34">
        <v>32.776000000000003</v>
      </c>
      <c r="G425" s="34">
        <f t="shared" si="6"/>
        <v>0.30809440000000005</v>
      </c>
      <c r="H425" s="35"/>
      <c r="I425" s="31"/>
      <c r="J425" s="155">
        <v>0</v>
      </c>
    </row>
    <row r="426" spans="1:10" ht="27" hidden="1" thickBot="1" x14ac:dyDescent="0.35">
      <c r="A426" s="229"/>
      <c r="B426" s="224"/>
      <c r="C426" s="36" t="s">
        <v>178</v>
      </c>
      <c r="D426" s="47" t="s">
        <v>20</v>
      </c>
      <c r="E426" s="37">
        <v>13.35</v>
      </c>
      <c r="F426" s="34">
        <v>1.802</v>
      </c>
      <c r="G426" s="34">
        <f t="shared" si="6"/>
        <v>24.056699999999999</v>
      </c>
      <c r="H426" s="35"/>
      <c r="I426" s="31"/>
      <c r="J426" s="155">
        <v>0</v>
      </c>
    </row>
    <row r="427" spans="1:10" ht="53.4" hidden="1" thickBot="1" x14ac:dyDescent="0.35">
      <c r="A427" s="229"/>
      <c r="B427" s="224"/>
      <c r="C427" s="36" t="s">
        <v>157</v>
      </c>
      <c r="D427" s="47" t="s">
        <v>110</v>
      </c>
      <c r="E427" s="37">
        <v>1.04E-2</v>
      </c>
      <c r="F427" s="34">
        <v>437.64055981399991</v>
      </c>
      <c r="G427" s="34">
        <f t="shared" si="6"/>
        <v>4.5514618220655985</v>
      </c>
      <c r="H427" s="35"/>
      <c r="I427" s="31"/>
      <c r="J427" s="155">
        <v>0</v>
      </c>
    </row>
    <row r="428" spans="1:10" ht="15" hidden="1" thickBot="1" x14ac:dyDescent="0.35">
      <c r="A428" s="229"/>
      <c r="B428" s="224"/>
      <c r="C428" s="36" t="s">
        <v>22</v>
      </c>
      <c r="D428" s="47" t="s">
        <v>12</v>
      </c>
      <c r="E428" s="37">
        <v>0.59</v>
      </c>
      <c r="F428" s="31">
        <v>20.314999999999998</v>
      </c>
      <c r="G428" s="34">
        <f t="shared" si="6"/>
        <v>11.985849999999997</v>
      </c>
      <c r="H428" s="35"/>
      <c r="I428" s="31"/>
      <c r="J428" s="155">
        <v>0</v>
      </c>
    </row>
    <row r="429" spans="1:10" ht="15" hidden="1" thickBot="1" x14ac:dyDescent="0.35">
      <c r="A429" s="229"/>
      <c r="B429" s="224"/>
      <c r="C429" s="36" t="s">
        <v>23</v>
      </c>
      <c r="D429" s="47" t="s">
        <v>12</v>
      </c>
      <c r="E429" s="37">
        <v>0.29499999999999998</v>
      </c>
      <c r="F429" s="31">
        <v>14.968499999999999</v>
      </c>
      <c r="G429" s="34">
        <f t="shared" si="6"/>
        <v>4.415707499999999</v>
      </c>
      <c r="H429" s="35"/>
      <c r="I429" s="31"/>
      <c r="J429" s="155">
        <v>0</v>
      </c>
    </row>
    <row r="430" spans="1:10" ht="53.4" hidden="1" thickBot="1" x14ac:dyDescent="0.35">
      <c r="A430" s="229"/>
      <c r="B430" s="224"/>
      <c r="C430" s="36" t="s">
        <v>157</v>
      </c>
      <c r="D430" s="47" t="s">
        <v>110</v>
      </c>
      <c r="E430" s="37">
        <v>2.1299999999999999E-2</v>
      </c>
      <c r="F430" s="34">
        <v>437.64055981399991</v>
      </c>
      <c r="G430" s="34">
        <f t="shared" si="6"/>
        <v>9.3217439240381985</v>
      </c>
      <c r="H430" s="35"/>
      <c r="I430" s="31"/>
      <c r="J430" s="155">
        <v>0</v>
      </c>
    </row>
    <row r="431" spans="1:10" ht="15" hidden="1" thickBot="1" x14ac:dyDescent="0.35">
      <c r="A431" s="229"/>
      <c r="B431" s="224"/>
      <c r="C431" s="36" t="s">
        <v>22</v>
      </c>
      <c r="D431" s="47" t="s">
        <v>12</v>
      </c>
      <c r="E431" s="37">
        <v>0.46</v>
      </c>
      <c r="F431" s="31">
        <v>20.314999999999998</v>
      </c>
      <c r="G431" s="34">
        <f t="shared" si="6"/>
        <v>9.3448999999999991</v>
      </c>
      <c r="H431" s="35"/>
      <c r="I431" s="31"/>
      <c r="J431" s="155">
        <v>0</v>
      </c>
    </row>
    <row r="432" spans="1:10" ht="15" hidden="1" thickBot="1" x14ac:dyDescent="0.35">
      <c r="A432" s="229"/>
      <c r="B432" s="224"/>
      <c r="C432" s="36" t="s">
        <v>23</v>
      </c>
      <c r="D432" s="47" t="s">
        <v>12</v>
      </c>
      <c r="E432" s="37">
        <v>0.16700000000000001</v>
      </c>
      <c r="F432" s="31">
        <v>14.968499999999999</v>
      </c>
      <c r="G432" s="34">
        <f t="shared" si="6"/>
        <v>2.4997395</v>
      </c>
      <c r="H432" s="35"/>
      <c r="I432" s="31"/>
      <c r="J432" s="155">
        <v>0</v>
      </c>
    </row>
    <row r="433" spans="1:10" ht="15" hidden="1" thickBot="1" x14ac:dyDescent="0.35">
      <c r="A433" s="230"/>
      <c r="B433" s="225"/>
      <c r="C433" s="36"/>
      <c r="D433" s="36"/>
      <c r="E433" s="37"/>
      <c r="F433" s="31" t="s">
        <v>560</v>
      </c>
      <c r="G433" s="31" t="str">
        <f t="shared" si="6"/>
        <v/>
      </c>
      <c r="H433" s="35"/>
      <c r="I433" s="31"/>
      <c r="J433" s="155">
        <v>0</v>
      </c>
    </row>
    <row r="434" spans="1:10" ht="15" hidden="1" thickBot="1" x14ac:dyDescent="0.35">
      <c r="A434" s="226" t="s">
        <v>179</v>
      </c>
      <c r="B434" s="223" t="e">
        <f>INDEX(#REF!,MATCH(Composições!A434,#REF!,0),2)</f>
        <v>#REF!</v>
      </c>
      <c r="C434" s="41"/>
      <c r="D434" s="26" t="e">
        <f>TRIM(INDEX(#REF!,MATCH(Composições!A434,#REF!,0),1))</f>
        <v>#REF!</v>
      </c>
      <c r="E434" s="27"/>
      <c r="F434" s="42" t="s">
        <v>560</v>
      </c>
      <c r="G434" s="28" t="str">
        <f t="shared" si="6"/>
        <v/>
      </c>
      <c r="H434" s="29"/>
      <c r="I434" s="30"/>
      <c r="J434" s="155">
        <v>0</v>
      </c>
    </row>
    <row r="435" spans="1:10" ht="15" hidden="1" thickBot="1" x14ac:dyDescent="0.35">
      <c r="A435" s="229"/>
      <c r="B435" s="224"/>
      <c r="C435" s="32"/>
      <c r="D435" s="32"/>
      <c r="E435" s="33"/>
      <c r="F435" s="43" t="s">
        <v>560</v>
      </c>
      <c r="G435" s="31" t="str">
        <f t="shared" si="6"/>
        <v/>
      </c>
      <c r="H435" s="35"/>
      <c r="I435" s="31"/>
      <c r="J435" s="155">
        <v>0</v>
      </c>
    </row>
    <row r="436" spans="1:10" ht="27" hidden="1" thickBot="1" x14ac:dyDescent="0.35">
      <c r="A436" s="229"/>
      <c r="B436" s="224"/>
      <c r="C436" s="36" t="s">
        <v>180</v>
      </c>
      <c r="D436" s="36" t="s">
        <v>110</v>
      </c>
      <c r="E436" s="37">
        <v>3.2000000000000002E-3</v>
      </c>
      <c r="F436" s="34">
        <v>1627.1738700000001</v>
      </c>
      <c r="G436" s="34">
        <f t="shared" si="6"/>
        <v>5.2069563840000006</v>
      </c>
      <c r="H436" s="39">
        <f>SUM(G436:G438)</f>
        <v>8.2824272339999983</v>
      </c>
      <c r="I436" s="40"/>
      <c r="J436" s="155">
        <v>0</v>
      </c>
    </row>
    <row r="437" spans="1:10" ht="15" hidden="1" thickBot="1" x14ac:dyDescent="0.35">
      <c r="A437" s="229"/>
      <c r="B437" s="224"/>
      <c r="C437" s="36" t="s">
        <v>22</v>
      </c>
      <c r="D437" s="36" t="s">
        <v>12</v>
      </c>
      <c r="E437" s="37">
        <v>0.14099999999999999</v>
      </c>
      <c r="F437" s="31">
        <v>20.314999999999998</v>
      </c>
      <c r="G437" s="34">
        <f t="shared" si="6"/>
        <v>2.8644149999999993</v>
      </c>
      <c r="H437" s="35"/>
      <c r="I437" s="31"/>
      <c r="J437" s="155">
        <v>0</v>
      </c>
    </row>
    <row r="438" spans="1:10" ht="15" hidden="1" thickBot="1" x14ac:dyDescent="0.35">
      <c r="A438" s="229"/>
      <c r="B438" s="224"/>
      <c r="C438" s="36" t="s">
        <v>23</v>
      </c>
      <c r="D438" s="36" t="s">
        <v>12</v>
      </c>
      <c r="E438" s="37">
        <v>1.41E-2</v>
      </c>
      <c r="F438" s="31">
        <v>14.968499999999999</v>
      </c>
      <c r="G438" s="34">
        <f t="shared" si="6"/>
        <v>0.21105584999999999</v>
      </c>
      <c r="H438" s="35"/>
      <c r="I438" s="31"/>
      <c r="J438" s="155">
        <v>0</v>
      </c>
    </row>
    <row r="439" spans="1:10" ht="15" hidden="1" thickBot="1" x14ac:dyDescent="0.35">
      <c r="A439" s="230"/>
      <c r="B439" s="225"/>
      <c r="C439" s="36"/>
      <c r="D439" s="36"/>
      <c r="E439" s="37"/>
      <c r="F439" s="31" t="s">
        <v>560</v>
      </c>
      <c r="G439" s="31" t="str">
        <f t="shared" si="6"/>
        <v/>
      </c>
      <c r="H439" s="35"/>
      <c r="I439" s="31"/>
      <c r="J439" s="155">
        <v>0</v>
      </c>
    </row>
    <row r="440" spans="1:10" ht="15" thickBot="1" x14ac:dyDescent="0.35">
      <c r="A440" s="226" t="s">
        <v>181</v>
      </c>
      <c r="B440" s="223" t="str">
        <f>INDEX(Orçamentária!A:B,MATCH(Composições!A440,Orçamentária!A:A,0),2)</f>
        <v>Chapisco com argamassa traço 1:3</v>
      </c>
      <c r="C440" s="41"/>
      <c r="D440" s="26" t="str">
        <f>TRIM(INDEX(Orçamentária!C:C,MATCH(Composições!A440,Orçamentária!A:A,0),1))</f>
        <v>m2</v>
      </c>
      <c r="E440" s="27"/>
      <c r="F440" s="42" t="s">
        <v>560</v>
      </c>
      <c r="G440" s="28" t="str">
        <f t="shared" si="6"/>
        <v/>
      </c>
      <c r="H440" s="29"/>
      <c r="I440" s="30"/>
      <c r="J440" s="155">
        <v>302.39999999999998</v>
      </c>
    </row>
    <row r="441" spans="1:10" x14ac:dyDescent="0.3">
      <c r="A441" s="229"/>
      <c r="B441" s="224"/>
      <c r="C441" s="32"/>
      <c r="D441" s="32"/>
      <c r="E441" s="33"/>
      <c r="F441" s="43" t="s">
        <v>560</v>
      </c>
      <c r="G441" s="31" t="str">
        <f t="shared" si="6"/>
        <v/>
      </c>
      <c r="H441" s="35"/>
      <c r="I441" s="31"/>
      <c r="J441" s="155">
        <v>302.39999999999998</v>
      </c>
    </row>
    <row r="442" spans="1:10" ht="39.6" x14ac:dyDescent="0.3">
      <c r="A442" s="229"/>
      <c r="B442" s="224"/>
      <c r="C442" s="36" t="s">
        <v>182</v>
      </c>
      <c r="D442" s="36" t="s">
        <v>110</v>
      </c>
      <c r="E442" s="37">
        <v>4.1999999999999997E-3</v>
      </c>
      <c r="F442" s="34">
        <v>513.47571890100005</v>
      </c>
      <c r="G442" s="34">
        <f t="shared" si="6"/>
        <v>2.1565980193842003</v>
      </c>
      <c r="H442" s="39">
        <f>SUM(G442:G444)</f>
        <v>3.6834275193842001</v>
      </c>
      <c r="I442" s="40"/>
      <c r="J442" s="155">
        <v>302.39999999999998</v>
      </c>
    </row>
    <row r="443" spans="1:10" x14ac:dyDescent="0.3">
      <c r="A443" s="229"/>
      <c r="B443" s="224"/>
      <c r="C443" s="36" t="s">
        <v>22</v>
      </c>
      <c r="D443" s="36" t="s">
        <v>12</v>
      </c>
      <c r="E443" s="37">
        <v>7.0000000000000007E-2</v>
      </c>
      <c r="F443" s="31">
        <v>20.314999999999998</v>
      </c>
      <c r="G443" s="31">
        <f t="shared" si="6"/>
        <v>1.42205</v>
      </c>
      <c r="H443" s="35"/>
      <c r="I443" s="31"/>
      <c r="J443" s="155">
        <v>302.39999999999998</v>
      </c>
    </row>
    <row r="444" spans="1:10" x14ac:dyDescent="0.3">
      <c r="A444" s="229"/>
      <c r="B444" s="224"/>
      <c r="C444" s="36" t="s">
        <v>23</v>
      </c>
      <c r="D444" s="36" t="s">
        <v>12</v>
      </c>
      <c r="E444" s="37">
        <v>7.0000000000000001E-3</v>
      </c>
      <c r="F444" s="31">
        <v>14.968499999999999</v>
      </c>
      <c r="G444" s="31">
        <f t="shared" si="6"/>
        <v>0.1047795</v>
      </c>
      <c r="H444" s="35"/>
      <c r="I444" s="31"/>
      <c r="J444" s="155">
        <v>302.39999999999998</v>
      </c>
    </row>
    <row r="445" spans="1:10" ht="15" thickBot="1" x14ac:dyDescent="0.35">
      <c r="A445" s="230"/>
      <c r="B445" s="225"/>
      <c r="C445" s="36"/>
      <c r="D445" s="36"/>
      <c r="E445" s="37"/>
      <c r="F445" s="31" t="s">
        <v>560</v>
      </c>
      <c r="G445" s="31" t="str">
        <f t="shared" si="6"/>
        <v/>
      </c>
      <c r="H445" s="35"/>
      <c r="I445" s="31"/>
      <c r="J445" s="155">
        <v>302.39999999999998</v>
      </c>
    </row>
    <row r="446" spans="1:10" ht="15" hidden="1" thickBot="1" x14ac:dyDescent="0.35">
      <c r="A446" s="226" t="s">
        <v>183</v>
      </c>
      <c r="B446" s="223" t="e">
        <f>INDEX(#REF!,MATCH(Composições!A446,#REF!,0),2)</f>
        <v>#REF!</v>
      </c>
      <c r="C446" s="41"/>
      <c r="D446" s="26" t="e">
        <f>TRIM(INDEX(#REF!,MATCH(Composições!A446,#REF!,0),1))</f>
        <v>#REF!</v>
      </c>
      <c r="E446" s="27"/>
      <c r="F446" s="42" t="s">
        <v>560</v>
      </c>
      <c r="G446" s="28" t="str">
        <f t="shared" si="6"/>
        <v/>
      </c>
      <c r="H446" s="29"/>
      <c r="I446" s="30"/>
      <c r="J446" s="155">
        <v>0</v>
      </c>
    </row>
    <row r="447" spans="1:10" ht="15" hidden="1" thickBot="1" x14ac:dyDescent="0.35">
      <c r="A447" s="227"/>
      <c r="B447" s="224"/>
      <c r="C447" s="32"/>
      <c r="D447" s="32"/>
      <c r="E447" s="33"/>
      <c r="F447" s="43" t="s">
        <v>560</v>
      </c>
      <c r="G447" s="31" t="str">
        <f t="shared" si="6"/>
        <v/>
      </c>
      <c r="H447" s="35"/>
      <c r="I447" s="31"/>
      <c r="J447" s="155">
        <v>0</v>
      </c>
    </row>
    <row r="448" spans="1:10" ht="15" hidden="1" thickBot="1" x14ac:dyDescent="0.35">
      <c r="A448" s="227"/>
      <c r="B448" s="224"/>
      <c r="C448" s="36" t="s">
        <v>184</v>
      </c>
      <c r="D448" s="36" t="s">
        <v>12</v>
      </c>
      <c r="E448" s="37">
        <v>0.4</v>
      </c>
      <c r="F448" s="31">
        <v>20.213000000000001</v>
      </c>
      <c r="G448" s="31">
        <f t="shared" si="6"/>
        <v>8.0852000000000004</v>
      </c>
      <c r="H448" s="39">
        <f>SUM(G448:G450)</f>
        <v>9.2826800000000009</v>
      </c>
      <c r="I448" s="40"/>
      <c r="J448" s="155">
        <v>0</v>
      </c>
    </row>
    <row r="449" spans="1:10" ht="15" hidden="1" thickBot="1" x14ac:dyDescent="0.35">
      <c r="A449" s="227"/>
      <c r="B449" s="224"/>
      <c r="C449" s="36" t="s">
        <v>23</v>
      </c>
      <c r="D449" s="36" t="s">
        <v>12</v>
      </c>
      <c r="E449" s="37">
        <v>0.08</v>
      </c>
      <c r="F449" s="31">
        <v>14.968499999999999</v>
      </c>
      <c r="G449" s="31">
        <f t="shared" si="6"/>
        <v>1.1974799999999999</v>
      </c>
      <c r="H449" s="35"/>
      <c r="I449" s="31"/>
      <c r="J449" s="155">
        <v>0</v>
      </c>
    </row>
    <row r="450" spans="1:10" ht="15" hidden="1" thickBot="1" x14ac:dyDescent="0.35">
      <c r="A450" s="227"/>
      <c r="B450" s="224"/>
      <c r="C450" s="36" t="s">
        <v>185</v>
      </c>
      <c r="D450" s="36" t="s">
        <v>42</v>
      </c>
      <c r="E450" s="37">
        <v>0.75</v>
      </c>
      <c r="F450" s="31" t="s">
        <v>560</v>
      </c>
      <c r="G450" s="31" t="str">
        <f t="shared" si="6"/>
        <v/>
      </c>
      <c r="H450" s="35"/>
      <c r="I450" s="31"/>
      <c r="J450" s="155">
        <v>0</v>
      </c>
    </row>
    <row r="451" spans="1:10" ht="15" hidden="1" thickBot="1" x14ac:dyDescent="0.35">
      <c r="A451" s="227"/>
      <c r="B451" s="224"/>
      <c r="C451" s="36"/>
      <c r="D451" s="36"/>
      <c r="E451" s="37"/>
      <c r="F451" s="31" t="s">
        <v>560</v>
      </c>
      <c r="G451" s="31" t="str">
        <f t="shared" si="6"/>
        <v/>
      </c>
      <c r="H451" s="35"/>
      <c r="I451" s="31"/>
      <c r="J451" s="155">
        <v>0</v>
      </c>
    </row>
    <row r="452" spans="1:10" ht="27" hidden="1" thickBot="1" x14ac:dyDescent="0.35">
      <c r="A452" s="227"/>
      <c r="B452" s="224"/>
      <c r="C452" s="52" t="s">
        <v>186</v>
      </c>
      <c r="D452" s="52"/>
      <c r="E452" s="53"/>
      <c r="F452" s="34" t="s">
        <v>560</v>
      </c>
      <c r="G452" s="31" t="str">
        <f t="shared" si="6"/>
        <v/>
      </c>
      <c r="H452" s="35"/>
      <c r="I452" s="31"/>
      <c r="J452" s="155">
        <v>0</v>
      </c>
    </row>
    <row r="453" spans="1:10" ht="15" hidden="1" thickBot="1" x14ac:dyDescent="0.35">
      <c r="A453" s="228"/>
      <c r="B453" s="225"/>
      <c r="C453" s="36"/>
      <c r="D453" s="36"/>
      <c r="E453" s="37"/>
      <c r="F453" s="31" t="s">
        <v>560</v>
      </c>
      <c r="G453" s="31" t="str">
        <f t="shared" si="6"/>
        <v/>
      </c>
      <c r="H453" s="35"/>
      <c r="I453" s="31"/>
      <c r="J453" s="155">
        <v>0</v>
      </c>
    </row>
    <row r="454" spans="1:10" ht="15" thickBot="1" x14ac:dyDescent="0.35">
      <c r="A454" s="226" t="s">
        <v>187</v>
      </c>
      <c r="B454" s="223" t="str">
        <f>INDEX(Orçamentária!A:B,MATCH(Composições!A454,Orçamentária!A:A,0),2)</f>
        <v>Reboco com argamassa industrializada e=2,0 cm</v>
      </c>
      <c r="C454" s="41"/>
      <c r="D454" s="26" t="str">
        <f>TRIM(INDEX(Orçamentária!C:C,MATCH(Composições!A454,Orçamentária!A:A,0),1))</f>
        <v>m2</v>
      </c>
      <c r="E454" s="27"/>
      <c r="F454" s="42" t="s">
        <v>560</v>
      </c>
      <c r="G454" s="28" t="str">
        <f t="shared" ref="G454:G517" si="7">IF(ISNUMBER(F454),E454*F454,"")</f>
        <v/>
      </c>
      <c r="H454" s="29"/>
      <c r="I454" s="30"/>
      <c r="J454" s="155">
        <v>302.39999999999998</v>
      </c>
    </row>
    <row r="455" spans="1:10" x14ac:dyDescent="0.3">
      <c r="A455" s="229"/>
      <c r="B455" s="224"/>
      <c r="C455" s="32"/>
      <c r="D455" s="32"/>
      <c r="E455" s="33"/>
      <c r="F455" s="43" t="s">
        <v>560</v>
      </c>
      <c r="G455" s="31" t="str">
        <f t="shared" si="7"/>
        <v/>
      </c>
      <c r="H455" s="35"/>
      <c r="I455" s="31"/>
      <c r="J455" s="155">
        <v>302.39999999999998</v>
      </c>
    </row>
    <row r="456" spans="1:10" ht="26.4" x14ac:dyDescent="0.3">
      <c r="A456" s="229"/>
      <c r="B456" s="224"/>
      <c r="C456" s="36" t="s">
        <v>188</v>
      </c>
      <c r="D456" s="36" t="s">
        <v>42</v>
      </c>
      <c r="E456" s="37">
        <f>1890*0.02</f>
        <v>37.800000000000004</v>
      </c>
      <c r="F456" s="34">
        <v>0.41649999999999998</v>
      </c>
      <c r="G456" s="31">
        <f t="shared" si="7"/>
        <v>15.7437</v>
      </c>
      <c r="H456" s="39">
        <f>SUM(G456:G459)</f>
        <v>30.613241299999999</v>
      </c>
      <c r="I456" s="40"/>
      <c r="J456" s="155">
        <v>302.39999999999998</v>
      </c>
    </row>
    <row r="457" spans="1:10" x14ac:dyDescent="0.3">
      <c r="A457" s="229"/>
      <c r="B457" s="224"/>
      <c r="C457" s="36" t="s">
        <v>23</v>
      </c>
      <c r="D457" s="36" t="s">
        <v>12</v>
      </c>
      <c r="E457" s="37">
        <f>12.59*0.02</f>
        <v>0.25180000000000002</v>
      </c>
      <c r="F457" s="31">
        <v>14.968499999999999</v>
      </c>
      <c r="G457" s="31">
        <f t="shared" si="7"/>
        <v>3.7690683000000003</v>
      </c>
      <c r="H457" s="45"/>
      <c r="I457" s="46"/>
      <c r="J457" s="155">
        <v>302.39999999999998</v>
      </c>
    </row>
    <row r="458" spans="1:10" x14ac:dyDescent="0.3">
      <c r="A458" s="229"/>
      <c r="B458" s="224"/>
      <c r="C458" s="36" t="s">
        <v>22</v>
      </c>
      <c r="D458" s="36" t="s">
        <v>12</v>
      </c>
      <c r="E458" s="37">
        <v>0.43</v>
      </c>
      <c r="F458" s="31">
        <v>20.314999999999998</v>
      </c>
      <c r="G458" s="31">
        <f t="shared" si="7"/>
        <v>8.7354499999999984</v>
      </c>
      <c r="H458" s="35"/>
      <c r="I458" s="31"/>
      <c r="J458" s="155">
        <v>302.39999999999998</v>
      </c>
    </row>
    <row r="459" spans="1:10" x14ac:dyDescent="0.3">
      <c r="A459" s="229"/>
      <c r="B459" s="224"/>
      <c r="C459" s="36" t="s">
        <v>23</v>
      </c>
      <c r="D459" s="36" t="s">
        <v>12</v>
      </c>
      <c r="E459" s="37">
        <f>0.158</f>
        <v>0.158</v>
      </c>
      <c r="F459" s="31">
        <v>14.968499999999999</v>
      </c>
      <c r="G459" s="31">
        <f t="shared" si="7"/>
        <v>2.3650229999999999</v>
      </c>
      <c r="H459" s="35"/>
      <c r="I459" s="31"/>
      <c r="J459" s="155">
        <v>302.39999999999998</v>
      </c>
    </row>
    <row r="460" spans="1:10" x14ac:dyDescent="0.3">
      <c r="A460" s="229"/>
      <c r="B460" s="224"/>
      <c r="C460" s="36"/>
      <c r="D460" s="36"/>
      <c r="E460" s="37"/>
      <c r="F460" s="31" t="s">
        <v>560</v>
      </c>
      <c r="G460" s="31" t="str">
        <f t="shared" si="7"/>
        <v/>
      </c>
      <c r="H460" s="35"/>
      <c r="I460" s="31"/>
      <c r="J460" s="155">
        <v>302.39999999999998</v>
      </c>
    </row>
    <row r="461" spans="1:10" ht="39.6" x14ac:dyDescent="0.3">
      <c r="A461" s="229"/>
      <c r="B461" s="224"/>
      <c r="C461" s="52" t="s">
        <v>189</v>
      </c>
      <c r="D461" s="36"/>
      <c r="E461" s="37"/>
      <c r="F461" s="31" t="s">
        <v>560</v>
      </c>
      <c r="G461" s="31" t="str">
        <f t="shared" si="7"/>
        <v/>
      </c>
      <c r="H461" s="35"/>
      <c r="I461" s="31"/>
      <c r="J461" s="155">
        <v>302.39999999999998</v>
      </c>
    </row>
    <row r="462" spans="1:10" ht="28.8" x14ac:dyDescent="0.3">
      <c r="A462" s="229"/>
      <c r="B462" s="224"/>
      <c r="C462" s="145" t="s">
        <v>190</v>
      </c>
      <c r="D462" s="36"/>
      <c r="E462" s="37"/>
      <c r="F462" s="31" t="s">
        <v>560</v>
      </c>
      <c r="G462" s="31" t="str">
        <f t="shared" si="7"/>
        <v/>
      </c>
      <c r="H462" s="35"/>
      <c r="I462" s="31"/>
      <c r="J462" s="155">
        <v>302.39999999999998</v>
      </c>
    </row>
    <row r="463" spans="1:10" ht="15" thickBot="1" x14ac:dyDescent="0.35">
      <c r="A463" s="230"/>
      <c r="B463" s="225"/>
      <c r="C463" s="36"/>
      <c r="D463" s="36"/>
      <c r="E463" s="37"/>
      <c r="F463" s="31" t="s">
        <v>560</v>
      </c>
      <c r="G463" s="31" t="str">
        <f t="shared" si="7"/>
        <v/>
      </c>
      <c r="H463" s="35"/>
      <c r="I463" s="31"/>
      <c r="J463" s="155">
        <v>302.39999999999998</v>
      </c>
    </row>
    <row r="464" spans="1:10" ht="15" hidden="1" thickBot="1" x14ac:dyDescent="0.35">
      <c r="A464" s="226" t="s">
        <v>191</v>
      </c>
      <c r="B464" s="223" t="e">
        <f>INDEX(#REF!,MATCH(Composições!A464,#REF!,0),2)</f>
        <v>#REF!</v>
      </c>
      <c r="C464" s="41"/>
      <c r="D464" s="26" t="e">
        <f>TRIM(INDEX(#REF!,MATCH(Composições!A464,#REF!,0),1))</f>
        <v>#REF!</v>
      </c>
      <c r="E464" s="27"/>
      <c r="F464" s="42" t="s">
        <v>560</v>
      </c>
      <c r="G464" s="28" t="str">
        <f t="shared" si="7"/>
        <v/>
      </c>
      <c r="H464" s="29"/>
      <c r="I464" s="30"/>
      <c r="J464" s="155">
        <v>0</v>
      </c>
    </row>
    <row r="465" spans="1:10" ht="15" hidden="1" thickBot="1" x14ac:dyDescent="0.35">
      <c r="A465" s="229"/>
      <c r="B465" s="224"/>
      <c r="C465" s="32"/>
      <c r="D465" s="32"/>
      <c r="E465" s="33"/>
      <c r="F465" s="43" t="s">
        <v>560</v>
      </c>
      <c r="G465" s="31" t="str">
        <f t="shared" si="7"/>
        <v/>
      </c>
      <c r="H465" s="35"/>
      <c r="I465" s="31"/>
      <c r="J465" s="155">
        <v>0</v>
      </c>
    </row>
    <row r="466" spans="1:10" ht="27" hidden="1" thickBot="1" x14ac:dyDescent="0.35">
      <c r="A466" s="229"/>
      <c r="B466" s="224"/>
      <c r="C466" s="36" t="s">
        <v>188</v>
      </c>
      <c r="D466" s="36" t="s">
        <v>42</v>
      </c>
      <c r="E466" s="37">
        <f>1890*0.005</f>
        <v>9.4500000000000011</v>
      </c>
      <c r="F466" s="34">
        <v>0.41649999999999998</v>
      </c>
      <c r="G466" s="31">
        <f t="shared" si="7"/>
        <v>3.9359250000000001</v>
      </c>
      <c r="H466" s="39">
        <f>SUM(G466:G469)</f>
        <v>10.627724675</v>
      </c>
      <c r="I466" s="40"/>
      <c r="J466" s="155">
        <v>0</v>
      </c>
    </row>
    <row r="467" spans="1:10" ht="15" hidden="1" thickBot="1" x14ac:dyDescent="0.35">
      <c r="A467" s="229"/>
      <c r="B467" s="224"/>
      <c r="C467" s="36" t="s">
        <v>23</v>
      </c>
      <c r="D467" s="36" t="s">
        <v>12</v>
      </c>
      <c r="E467" s="37">
        <f>12.59*0.005</f>
        <v>6.2950000000000006E-2</v>
      </c>
      <c r="F467" s="31">
        <v>14.968499999999999</v>
      </c>
      <c r="G467" s="31">
        <f t="shared" si="7"/>
        <v>0.94226707500000007</v>
      </c>
      <c r="H467" s="35"/>
      <c r="I467" s="31"/>
      <c r="J467" s="155">
        <v>0</v>
      </c>
    </row>
    <row r="468" spans="1:10" ht="15" hidden="1" thickBot="1" x14ac:dyDescent="0.35">
      <c r="A468" s="229"/>
      <c r="B468" s="224"/>
      <c r="C468" s="36" t="s">
        <v>22</v>
      </c>
      <c r="D468" s="36" t="s">
        <v>12</v>
      </c>
      <c r="E468" s="37">
        <f>0.31*0.7</f>
        <v>0.217</v>
      </c>
      <c r="F468" s="31">
        <v>20.314999999999998</v>
      </c>
      <c r="G468" s="31">
        <f t="shared" si="7"/>
        <v>4.4083549999999994</v>
      </c>
      <c r="H468" s="35"/>
      <c r="I468" s="31"/>
      <c r="J468" s="155">
        <v>0</v>
      </c>
    </row>
    <row r="469" spans="1:10" ht="15" hidden="1" thickBot="1" x14ac:dyDescent="0.35">
      <c r="A469" s="229"/>
      <c r="B469" s="224"/>
      <c r="C469" s="36" t="s">
        <v>23</v>
      </c>
      <c r="D469" s="36" t="s">
        <v>12</v>
      </c>
      <c r="E469" s="37">
        <f>0.128*0.7</f>
        <v>8.9599999999999999E-2</v>
      </c>
      <c r="F469" s="31">
        <v>14.968499999999999</v>
      </c>
      <c r="G469" s="31">
        <f t="shared" si="7"/>
        <v>1.3411776</v>
      </c>
      <c r="H469" s="35"/>
      <c r="I469" s="31"/>
      <c r="J469" s="155">
        <v>0</v>
      </c>
    </row>
    <row r="470" spans="1:10" ht="15" hidden="1" thickBot="1" x14ac:dyDescent="0.35">
      <c r="A470" s="230"/>
      <c r="B470" s="225"/>
      <c r="C470" s="36"/>
      <c r="D470" s="36"/>
      <c r="E470" s="37"/>
      <c r="F470" s="31" t="s">
        <v>560</v>
      </c>
      <c r="G470" s="31" t="str">
        <f t="shared" si="7"/>
        <v/>
      </c>
      <c r="H470" s="35"/>
      <c r="I470" s="31"/>
      <c r="J470" s="155">
        <v>0</v>
      </c>
    </row>
    <row r="471" spans="1:10" ht="15" hidden="1" thickBot="1" x14ac:dyDescent="0.35">
      <c r="A471" s="226" t="s">
        <v>192</v>
      </c>
      <c r="B471" s="223" t="e">
        <f>INDEX(#REF!,MATCH(Composições!A471,#REF!,0),2)</f>
        <v>#REF!</v>
      </c>
      <c r="C471" s="41"/>
      <c r="D471" s="26" t="e">
        <f>TRIM(INDEX(#REF!,MATCH(Composições!A471,#REF!,0),1))</f>
        <v>#REF!</v>
      </c>
      <c r="E471" s="27"/>
      <c r="F471" s="42" t="s">
        <v>560</v>
      </c>
      <c r="G471" s="28" t="str">
        <f t="shared" si="7"/>
        <v/>
      </c>
      <c r="H471" s="29"/>
      <c r="I471" s="30"/>
      <c r="J471" s="155">
        <v>0</v>
      </c>
    </row>
    <row r="472" spans="1:10" ht="15" hidden="1" thickBot="1" x14ac:dyDescent="0.35">
      <c r="A472" s="229"/>
      <c r="B472" s="224"/>
      <c r="C472" s="32"/>
      <c r="D472" s="32"/>
      <c r="E472" s="33"/>
      <c r="F472" s="43" t="s">
        <v>560</v>
      </c>
      <c r="G472" s="31" t="str">
        <f t="shared" si="7"/>
        <v/>
      </c>
      <c r="H472" s="35"/>
      <c r="I472" s="31"/>
      <c r="J472" s="155">
        <v>0</v>
      </c>
    </row>
    <row r="473" spans="1:10" ht="15" hidden="1" thickBot="1" x14ac:dyDescent="0.35">
      <c r="A473" s="229"/>
      <c r="B473" s="224"/>
      <c r="C473" s="36" t="s">
        <v>23</v>
      </c>
      <c r="D473" s="47" t="s">
        <v>12</v>
      </c>
      <c r="E473" s="37">
        <v>0.6</v>
      </c>
      <c r="F473" s="31">
        <v>14.968499999999999</v>
      </c>
      <c r="G473" s="34">
        <f t="shared" si="7"/>
        <v>8.9810999999999996</v>
      </c>
      <c r="H473" s="39">
        <f>SUM(G473:G477)</f>
        <v>14.538277600000001</v>
      </c>
      <c r="I473" s="40"/>
      <c r="J473" s="155">
        <v>0</v>
      </c>
    </row>
    <row r="474" spans="1:10" ht="15" hidden="1" thickBot="1" x14ac:dyDescent="0.35">
      <c r="A474" s="229"/>
      <c r="B474" s="224"/>
      <c r="C474" s="36" t="s">
        <v>22</v>
      </c>
      <c r="D474" s="47" t="s">
        <v>12</v>
      </c>
      <c r="E474" s="37">
        <v>0.155</v>
      </c>
      <c r="F474" s="31">
        <v>20.314999999999998</v>
      </c>
      <c r="G474" s="34">
        <f t="shared" si="7"/>
        <v>3.1488249999999995</v>
      </c>
      <c r="H474" s="35"/>
      <c r="I474" s="31"/>
      <c r="J474" s="155">
        <v>0</v>
      </c>
    </row>
    <row r="475" spans="1:10" ht="15" hidden="1" thickBot="1" x14ac:dyDescent="0.35">
      <c r="A475" s="229"/>
      <c r="B475" s="224"/>
      <c r="C475" s="36" t="s">
        <v>193</v>
      </c>
      <c r="D475" s="47" t="s">
        <v>93</v>
      </c>
      <c r="E475" s="37">
        <v>1.05</v>
      </c>
      <c r="F475" s="34">
        <v>1.9379999999999997</v>
      </c>
      <c r="G475" s="34">
        <f t="shared" si="7"/>
        <v>2.0348999999999999</v>
      </c>
      <c r="H475" s="35"/>
      <c r="I475" s="31"/>
      <c r="J475" s="155">
        <v>0</v>
      </c>
    </row>
    <row r="476" spans="1:10" ht="15" hidden="1" thickBot="1" x14ac:dyDescent="0.35">
      <c r="A476" s="229"/>
      <c r="B476" s="224"/>
      <c r="C476" s="36" t="s">
        <v>194</v>
      </c>
      <c r="D476" s="50" t="s">
        <v>103</v>
      </c>
      <c r="E476" s="37">
        <f>ROUND(1*0.15/(165/18),4)</f>
        <v>1.6400000000000001E-2</v>
      </c>
      <c r="F476" s="34">
        <v>22.7715</v>
      </c>
      <c r="G476" s="34">
        <f t="shared" si="7"/>
        <v>0.37345260000000002</v>
      </c>
      <c r="H476" s="35"/>
      <c r="I476" s="31"/>
      <c r="J476" s="155">
        <v>0</v>
      </c>
    </row>
    <row r="477" spans="1:10" ht="15" hidden="1" thickBot="1" x14ac:dyDescent="0.35">
      <c r="A477" s="229"/>
      <c r="B477" s="224"/>
      <c r="C477" s="36" t="s">
        <v>195</v>
      </c>
      <c r="D477" s="47" t="s">
        <v>42</v>
      </c>
      <c r="E477" s="37">
        <f>1/5</f>
        <v>0.2</v>
      </c>
      <c r="F477" s="34" t="s">
        <v>560</v>
      </c>
      <c r="G477" s="34" t="str">
        <f t="shared" si="7"/>
        <v/>
      </c>
      <c r="H477" s="35"/>
      <c r="I477" s="31"/>
      <c r="J477" s="155">
        <v>0</v>
      </c>
    </row>
    <row r="478" spans="1:10" ht="15" hidden="1" thickBot="1" x14ac:dyDescent="0.35">
      <c r="A478" s="229"/>
      <c r="B478" s="224"/>
      <c r="C478" s="36"/>
      <c r="D478" s="47"/>
      <c r="E478" s="37"/>
      <c r="F478" s="34" t="s">
        <v>560</v>
      </c>
      <c r="G478" s="34" t="str">
        <f t="shared" si="7"/>
        <v/>
      </c>
      <c r="H478" s="35"/>
      <c r="I478" s="31"/>
      <c r="J478" s="155">
        <v>0</v>
      </c>
    </row>
    <row r="479" spans="1:10" ht="40.200000000000003" hidden="1" thickBot="1" x14ac:dyDescent="0.35">
      <c r="A479" s="229"/>
      <c r="B479" s="224"/>
      <c r="C479" s="52" t="s">
        <v>196</v>
      </c>
      <c r="D479" s="47"/>
      <c r="E479" s="37"/>
      <c r="F479" s="34" t="s">
        <v>560</v>
      </c>
      <c r="G479" s="34" t="str">
        <f t="shared" si="7"/>
        <v/>
      </c>
      <c r="H479" s="35"/>
      <c r="I479" s="31"/>
      <c r="J479" s="155">
        <v>0</v>
      </c>
    </row>
    <row r="480" spans="1:10" ht="15" hidden="1" thickBot="1" x14ac:dyDescent="0.35">
      <c r="A480" s="229"/>
      <c r="B480" s="224"/>
      <c r="C480" s="146" t="s">
        <v>197</v>
      </c>
      <c r="D480" s="47"/>
      <c r="E480" s="37"/>
      <c r="F480" s="34" t="s">
        <v>560</v>
      </c>
      <c r="G480" s="34" t="str">
        <f t="shared" si="7"/>
        <v/>
      </c>
      <c r="H480" s="35"/>
      <c r="I480" s="31"/>
      <c r="J480" s="155">
        <v>0</v>
      </c>
    </row>
    <row r="481" spans="1:10" ht="22.2" hidden="1" thickBot="1" x14ac:dyDescent="0.35">
      <c r="A481" s="229"/>
      <c r="B481" s="224"/>
      <c r="C481" s="146" t="s">
        <v>198</v>
      </c>
      <c r="D481" s="47"/>
      <c r="E481" s="37"/>
      <c r="F481" s="34" t="s">
        <v>560</v>
      </c>
      <c r="G481" s="34" t="str">
        <f t="shared" si="7"/>
        <v/>
      </c>
      <c r="H481" s="35"/>
      <c r="I481" s="31"/>
      <c r="J481" s="155">
        <v>0</v>
      </c>
    </row>
    <row r="482" spans="1:10" ht="15" hidden="1" thickBot="1" x14ac:dyDescent="0.35">
      <c r="A482" s="230"/>
      <c r="B482" s="225"/>
      <c r="C482" s="36"/>
      <c r="D482" s="36"/>
      <c r="E482" s="37"/>
      <c r="F482" s="31" t="s">
        <v>560</v>
      </c>
      <c r="G482" s="31" t="str">
        <f t="shared" si="7"/>
        <v/>
      </c>
      <c r="H482" s="35"/>
      <c r="I482" s="31"/>
      <c r="J482" s="155">
        <v>0</v>
      </c>
    </row>
    <row r="483" spans="1:10" ht="15" hidden="1" thickBot="1" x14ac:dyDescent="0.35">
      <c r="A483" s="226" t="s">
        <v>199</v>
      </c>
      <c r="B483" s="223" t="e">
        <f>INDEX(#REF!,MATCH(Composições!A483,#REF!,0),2)</f>
        <v>#REF!</v>
      </c>
      <c r="C483" s="41"/>
      <c r="D483" s="26" t="e">
        <f>TRIM(INDEX(#REF!,MATCH(Composições!A483,#REF!,0),1))</f>
        <v>#REF!</v>
      </c>
      <c r="E483" s="27"/>
      <c r="F483" s="42" t="s">
        <v>560</v>
      </c>
      <c r="G483" s="28" t="str">
        <f t="shared" si="7"/>
        <v/>
      </c>
      <c r="H483" s="29"/>
      <c r="I483" s="30"/>
      <c r="J483" s="155">
        <v>0</v>
      </c>
    </row>
    <row r="484" spans="1:10" ht="15" hidden="1" thickBot="1" x14ac:dyDescent="0.35">
      <c r="A484" s="229"/>
      <c r="B484" s="224"/>
      <c r="C484" s="32"/>
      <c r="D484" s="32"/>
      <c r="E484" s="33"/>
      <c r="F484" s="43" t="s">
        <v>560</v>
      </c>
      <c r="G484" s="31" t="str">
        <f t="shared" si="7"/>
        <v/>
      </c>
      <c r="H484" s="35"/>
      <c r="I484" s="31"/>
      <c r="J484" s="155">
        <v>0</v>
      </c>
    </row>
    <row r="485" spans="1:10" ht="15" hidden="1" thickBot="1" x14ac:dyDescent="0.35">
      <c r="A485" s="229"/>
      <c r="B485" s="224"/>
      <c r="C485" s="36" t="s">
        <v>101</v>
      </c>
      <c r="D485" s="47" t="s">
        <v>12</v>
      </c>
      <c r="E485" s="37">
        <v>0.106</v>
      </c>
      <c r="F485" s="31">
        <v>21.156500000000001</v>
      </c>
      <c r="G485" s="34">
        <f t="shared" si="7"/>
        <v>2.2425890000000002</v>
      </c>
      <c r="H485" s="39">
        <f>SUM(G485:G487)</f>
        <v>2.6467385000000001</v>
      </c>
      <c r="I485" s="40"/>
      <c r="J485" s="155">
        <v>0</v>
      </c>
    </row>
    <row r="486" spans="1:10" ht="15" hidden="1" thickBot="1" x14ac:dyDescent="0.35">
      <c r="A486" s="229"/>
      <c r="B486" s="224"/>
      <c r="C486" s="36" t="s">
        <v>23</v>
      </c>
      <c r="D486" s="47" t="s">
        <v>12</v>
      </c>
      <c r="E486" s="37">
        <v>2.7E-2</v>
      </c>
      <c r="F486" s="31">
        <v>14.968499999999999</v>
      </c>
      <c r="G486" s="34">
        <f t="shared" si="7"/>
        <v>0.40414949999999994</v>
      </c>
      <c r="H486" s="35"/>
      <c r="I486" s="31"/>
      <c r="J486" s="155">
        <v>0</v>
      </c>
    </row>
    <row r="487" spans="1:10" ht="15" hidden="1" thickBot="1" x14ac:dyDescent="0.35">
      <c r="A487" s="229"/>
      <c r="B487" s="224"/>
      <c r="C487" s="36" t="s">
        <v>200</v>
      </c>
      <c r="D487" s="50" t="s">
        <v>103</v>
      </c>
      <c r="E487" s="37">
        <v>0.16</v>
      </c>
      <c r="F487" s="34" t="s">
        <v>560</v>
      </c>
      <c r="G487" s="34" t="str">
        <f t="shared" si="7"/>
        <v/>
      </c>
      <c r="H487" s="35"/>
      <c r="I487" s="31"/>
      <c r="J487" s="155">
        <v>0</v>
      </c>
    </row>
    <row r="488" spans="1:10" ht="15" hidden="1" thickBot="1" x14ac:dyDescent="0.35">
      <c r="A488" s="230"/>
      <c r="B488" s="225"/>
      <c r="C488" s="36"/>
      <c r="D488" s="36"/>
      <c r="E488" s="37"/>
      <c r="F488" s="31" t="s">
        <v>560</v>
      </c>
      <c r="G488" s="31" t="str">
        <f t="shared" si="7"/>
        <v/>
      </c>
      <c r="H488" s="35"/>
      <c r="I488" s="31"/>
      <c r="J488" s="155">
        <v>0</v>
      </c>
    </row>
    <row r="489" spans="1:10" ht="15" hidden="1" thickBot="1" x14ac:dyDescent="0.35">
      <c r="A489" s="226" t="s">
        <v>201</v>
      </c>
      <c r="B489" s="223" t="e">
        <f>INDEX(#REF!,MATCH(Composições!A489,#REF!,0),2)</f>
        <v>#REF!</v>
      </c>
      <c r="C489" s="41"/>
      <c r="D489" s="26" t="e">
        <f>TRIM(INDEX(#REF!,MATCH(Composições!A489,#REF!,0),1))</f>
        <v>#REF!</v>
      </c>
      <c r="E489" s="27"/>
      <c r="F489" s="42" t="s">
        <v>560</v>
      </c>
      <c r="G489" s="28" t="str">
        <f t="shared" si="7"/>
        <v/>
      </c>
      <c r="H489" s="29"/>
      <c r="I489" s="30"/>
      <c r="J489" s="155">
        <v>0</v>
      </c>
    </row>
    <row r="490" spans="1:10" ht="15" hidden="1" thickBot="1" x14ac:dyDescent="0.35">
      <c r="A490" s="229"/>
      <c r="B490" s="224"/>
      <c r="C490" s="32"/>
      <c r="D490" s="32"/>
      <c r="E490" s="33"/>
      <c r="F490" s="43" t="s">
        <v>560</v>
      </c>
      <c r="G490" s="31" t="str">
        <f t="shared" si="7"/>
        <v/>
      </c>
      <c r="H490" s="35"/>
      <c r="I490" s="31"/>
      <c r="J490" s="155">
        <v>0</v>
      </c>
    </row>
    <row r="491" spans="1:10" ht="15" hidden="1" thickBot="1" x14ac:dyDescent="0.35">
      <c r="A491" s="229"/>
      <c r="B491" s="224"/>
      <c r="C491" s="36" t="s">
        <v>101</v>
      </c>
      <c r="D491" s="47" t="s">
        <v>12</v>
      </c>
      <c r="E491" s="37">
        <f>2*0.2149</f>
        <v>0.42980000000000002</v>
      </c>
      <c r="F491" s="31">
        <v>21.156500000000001</v>
      </c>
      <c r="G491" s="34">
        <f t="shared" si="7"/>
        <v>9.0930637000000001</v>
      </c>
      <c r="H491" s="39">
        <f>SUM(G491:G492)</f>
        <v>9.0930637000000001</v>
      </c>
      <c r="I491" s="40"/>
      <c r="J491" s="155">
        <v>0</v>
      </c>
    </row>
    <row r="492" spans="1:10" ht="15" hidden="1" thickBot="1" x14ac:dyDescent="0.35">
      <c r="A492" s="229"/>
      <c r="B492" s="224"/>
      <c r="C492" s="36" t="s">
        <v>202</v>
      </c>
      <c r="D492" s="50" t="s">
        <v>103</v>
      </c>
      <c r="E492" s="37">
        <f>2*(3.6/45)</f>
        <v>0.16</v>
      </c>
      <c r="F492" s="34" t="s">
        <v>560</v>
      </c>
      <c r="G492" s="34" t="str">
        <f t="shared" si="7"/>
        <v/>
      </c>
      <c r="H492" s="35"/>
      <c r="I492" s="31"/>
      <c r="J492" s="155">
        <v>0</v>
      </c>
    </row>
    <row r="493" spans="1:10" ht="15" hidden="1" thickBot="1" x14ac:dyDescent="0.35">
      <c r="A493" s="229"/>
      <c r="B493" s="224"/>
      <c r="C493" s="36"/>
      <c r="D493" s="47"/>
      <c r="E493" s="37"/>
      <c r="F493" s="34" t="s">
        <v>560</v>
      </c>
      <c r="G493" s="34" t="str">
        <f t="shared" si="7"/>
        <v/>
      </c>
      <c r="H493" s="35"/>
      <c r="I493" s="31"/>
      <c r="J493" s="155">
        <v>0</v>
      </c>
    </row>
    <row r="494" spans="1:10" ht="27" hidden="1" thickBot="1" x14ac:dyDescent="0.35">
      <c r="A494" s="229"/>
      <c r="B494" s="224"/>
      <c r="C494" s="52" t="s">
        <v>203</v>
      </c>
      <c r="D494" s="47"/>
      <c r="E494" s="37"/>
      <c r="F494" s="34" t="s">
        <v>560</v>
      </c>
      <c r="G494" s="34" t="str">
        <f t="shared" si="7"/>
        <v/>
      </c>
      <c r="H494" s="35"/>
      <c r="I494" s="31"/>
      <c r="J494" s="155">
        <v>0</v>
      </c>
    </row>
    <row r="495" spans="1:10" ht="29.4" hidden="1" thickBot="1" x14ac:dyDescent="0.35">
      <c r="A495" s="229"/>
      <c r="B495" s="224"/>
      <c r="C495" s="147" t="s">
        <v>204</v>
      </c>
      <c r="D495" s="47"/>
      <c r="E495" s="37"/>
      <c r="F495" s="34" t="s">
        <v>560</v>
      </c>
      <c r="G495" s="34" t="str">
        <f t="shared" si="7"/>
        <v/>
      </c>
      <c r="H495" s="35"/>
      <c r="I495" s="31"/>
      <c r="J495" s="155">
        <v>0</v>
      </c>
    </row>
    <row r="496" spans="1:10" ht="29.4" hidden="1" thickBot="1" x14ac:dyDescent="0.35">
      <c r="A496" s="230"/>
      <c r="B496" s="225"/>
      <c r="C496" s="147" t="s">
        <v>205</v>
      </c>
      <c r="D496" s="36"/>
      <c r="E496" s="37"/>
      <c r="F496" s="31" t="s">
        <v>560</v>
      </c>
      <c r="G496" s="31" t="str">
        <f t="shared" si="7"/>
        <v/>
      </c>
      <c r="H496" s="35"/>
      <c r="I496" s="31"/>
      <c r="J496" s="155">
        <v>0</v>
      </c>
    </row>
    <row r="497" spans="1:10" ht="15" hidden="1" thickBot="1" x14ac:dyDescent="0.35">
      <c r="A497" s="226" t="s">
        <v>206</v>
      </c>
      <c r="B497" s="223" t="e">
        <f>INDEX(#REF!,MATCH(Composições!A497,#REF!,0),2)</f>
        <v>#REF!</v>
      </c>
      <c r="C497" s="41"/>
      <c r="D497" s="26" t="e">
        <f>TRIM(INDEX(#REF!,MATCH(Composições!A497,#REF!,0),1))</f>
        <v>#REF!</v>
      </c>
      <c r="E497" s="27"/>
      <c r="F497" s="42" t="s">
        <v>560</v>
      </c>
      <c r="G497" s="28" t="str">
        <f t="shared" si="7"/>
        <v/>
      </c>
      <c r="H497" s="29"/>
      <c r="I497" s="30"/>
      <c r="J497" s="155">
        <v>0</v>
      </c>
    </row>
    <row r="498" spans="1:10" ht="15" hidden="1" thickBot="1" x14ac:dyDescent="0.35">
      <c r="A498" s="229"/>
      <c r="B498" s="224"/>
      <c r="C498" s="32"/>
      <c r="D498" s="32"/>
      <c r="E498" s="33"/>
      <c r="F498" s="43" t="s">
        <v>560</v>
      </c>
      <c r="G498" s="31" t="str">
        <f t="shared" si="7"/>
        <v/>
      </c>
      <c r="H498" s="35"/>
      <c r="I498" s="31"/>
      <c r="J498" s="155">
        <v>0</v>
      </c>
    </row>
    <row r="499" spans="1:10" ht="15" hidden="1" thickBot="1" x14ac:dyDescent="0.35">
      <c r="A499" s="229"/>
      <c r="B499" s="224"/>
      <c r="C499" s="36" t="s">
        <v>207</v>
      </c>
      <c r="D499" s="47" t="s">
        <v>20</v>
      </c>
      <c r="E499" s="37">
        <v>0.1</v>
      </c>
      <c r="F499" s="34">
        <v>0.59499999999999997</v>
      </c>
      <c r="G499" s="34">
        <f t="shared" si="7"/>
        <v>5.9499999999999997E-2</v>
      </c>
      <c r="H499" s="39">
        <f>SUM(G499:G502)</f>
        <v>15.007030499999999</v>
      </c>
      <c r="I499" s="40"/>
      <c r="J499" s="155">
        <v>0</v>
      </c>
    </row>
    <row r="500" spans="1:10" ht="15" hidden="1" thickBot="1" x14ac:dyDescent="0.35">
      <c r="A500" s="229"/>
      <c r="B500" s="224"/>
      <c r="C500" s="36" t="s">
        <v>208</v>
      </c>
      <c r="D500" s="47" t="s">
        <v>209</v>
      </c>
      <c r="E500" s="37">
        <v>0.24399999999999999</v>
      </c>
      <c r="F500" s="34">
        <v>27.208499999999997</v>
      </c>
      <c r="G500" s="34">
        <f t="shared" si="7"/>
        <v>6.6388739999999995</v>
      </c>
      <c r="H500" s="35"/>
      <c r="I500" s="31"/>
      <c r="J500" s="155">
        <v>0</v>
      </c>
    </row>
    <row r="501" spans="1:10" ht="15" hidden="1" thickBot="1" x14ac:dyDescent="0.35">
      <c r="A501" s="229"/>
      <c r="B501" s="224"/>
      <c r="C501" s="36" t="s">
        <v>101</v>
      </c>
      <c r="D501" s="47" t="s">
        <v>12</v>
      </c>
      <c r="E501" s="37">
        <v>0.33400000000000002</v>
      </c>
      <c r="F501" s="31">
        <v>21.156500000000001</v>
      </c>
      <c r="G501" s="34">
        <f t="shared" si="7"/>
        <v>7.0662710000000004</v>
      </c>
      <c r="H501" s="35"/>
      <c r="I501" s="31"/>
      <c r="J501" s="155">
        <v>0</v>
      </c>
    </row>
    <row r="502" spans="1:10" ht="15" hidden="1" thickBot="1" x14ac:dyDescent="0.35">
      <c r="A502" s="229"/>
      <c r="B502" s="224"/>
      <c r="C502" s="36" t="s">
        <v>23</v>
      </c>
      <c r="D502" s="47" t="s">
        <v>12</v>
      </c>
      <c r="E502" s="37">
        <v>8.3000000000000004E-2</v>
      </c>
      <c r="F502" s="31">
        <v>14.968499999999999</v>
      </c>
      <c r="G502" s="34">
        <f t="shared" si="7"/>
        <v>1.2423854999999999</v>
      </c>
      <c r="H502" s="35"/>
      <c r="I502" s="31"/>
      <c r="J502" s="155">
        <v>0</v>
      </c>
    </row>
    <row r="503" spans="1:10" ht="15" hidden="1" thickBot="1" x14ac:dyDescent="0.35">
      <c r="A503" s="230"/>
      <c r="B503" s="225"/>
      <c r="C503" s="36"/>
      <c r="D503" s="36"/>
      <c r="E503" s="37"/>
      <c r="F503" s="31" t="s">
        <v>560</v>
      </c>
      <c r="G503" s="31" t="str">
        <f t="shared" si="7"/>
        <v/>
      </c>
      <c r="H503" s="35"/>
      <c r="I503" s="31"/>
      <c r="J503" s="155">
        <v>0</v>
      </c>
    </row>
    <row r="504" spans="1:10" ht="15" hidden="1" thickBot="1" x14ac:dyDescent="0.35">
      <c r="A504" s="226" t="s">
        <v>210</v>
      </c>
      <c r="B504" s="223" t="e">
        <f>INDEX(#REF!,MATCH(Composições!A504,#REF!,0),2)</f>
        <v>#REF!</v>
      </c>
      <c r="C504" s="41"/>
      <c r="D504" s="26" t="e">
        <f>TRIM(INDEX(#REF!,MATCH(Composições!A504,#REF!,0),1))</f>
        <v>#REF!</v>
      </c>
      <c r="E504" s="27"/>
      <c r="F504" s="42" t="s">
        <v>560</v>
      </c>
      <c r="G504" s="28" t="str">
        <f t="shared" si="7"/>
        <v/>
      </c>
      <c r="H504" s="29"/>
      <c r="I504" s="30"/>
      <c r="J504" s="155">
        <v>0</v>
      </c>
    </row>
    <row r="505" spans="1:10" ht="15" hidden="1" thickBot="1" x14ac:dyDescent="0.35">
      <c r="A505" s="229"/>
      <c r="B505" s="224"/>
      <c r="C505" s="32"/>
      <c r="D505" s="32"/>
      <c r="E505" s="33"/>
      <c r="F505" s="43" t="s">
        <v>560</v>
      </c>
      <c r="G505" s="31" t="str">
        <f t="shared" si="7"/>
        <v/>
      </c>
      <c r="H505" s="35"/>
      <c r="I505" s="31"/>
      <c r="J505" s="155">
        <v>0</v>
      </c>
    </row>
    <row r="506" spans="1:10" ht="15" hidden="1" thickBot="1" x14ac:dyDescent="0.35">
      <c r="A506" s="229"/>
      <c r="B506" s="224"/>
      <c r="C506" s="36" t="s">
        <v>207</v>
      </c>
      <c r="D506" s="47" t="s">
        <v>20</v>
      </c>
      <c r="E506" s="37">
        <v>0.1</v>
      </c>
      <c r="F506" s="34">
        <v>0.59499999999999997</v>
      </c>
      <c r="G506" s="34">
        <f t="shared" si="7"/>
        <v>5.9499999999999997E-2</v>
      </c>
      <c r="H506" s="39">
        <f>SUM(G506:G509)</f>
        <v>11.687780500000002</v>
      </c>
      <c r="I506" s="40"/>
      <c r="J506" s="155">
        <v>0</v>
      </c>
    </row>
    <row r="507" spans="1:10" ht="15" hidden="1" thickBot="1" x14ac:dyDescent="0.35">
      <c r="A507" s="229"/>
      <c r="B507" s="224"/>
      <c r="C507" s="36" t="s">
        <v>2382</v>
      </c>
      <c r="D507" s="47" t="s">
        <v>1315</v>
      </c>
      <c r="E507" s="37">
        <v>0.2445</v>
      </c>
      <c r="F507" s="34">
        <v>13.583</v>
      </c>
      <c r="G507" s="34">
        <f t="shared" si="7"/>
        <v>3.3210435</v>
      </c>
      <c r="H507" s="35"/>
      <c r="I507" s="31"/>
      <c r="J507" s="155">
        <v>0</v>
      </c>
    </row>
    <row r="508" spans="1:10" ht="15" hidden="1" thickBot="1" x14ac:dyDescent="0.35">
      <c r="A508" s="229"/>
      <c r="B508" s="224"/>
      <c r="C508" s="36" t="s">
        <v>101</v>
      </c>
      <c r="D508" s="47" t="s">
        <v>12</v>
      </c>
      <c r="E508" s="37">
        <v>0.312</v>
      </c>
      <c r="F508" s="31">
        <v>21.156500000000001</v>
      </c>
      <c r="G508" s="34">
        <f t="shared" si="7"/>
        <v>6.6008280000000008</v>
      </c>
      <c r="H508" s="35"/>
      <c r="I508" s="31"/>
      <c r="J508" s="155">
        <v>0</v>
      </c>
    </row>
    <row r="509" spans="1:10" ht="15" hidden="1" thickBot="1" x14ac:dyDescent="0.35">
      <c r="A509" s="229"/>
      <c r="B509" s="224"/>
      <c r="C509" s="36" t="s">
        <v>23</v>
      </c>
      <c r="D509" s="47" t="s">
        <v>12</v>
      </c>
      <c r="E509" s="37">
        <v>0.114</v>
      </c>
      <c r="F509" s="31">
        <v>14.968499999999999</v>
      </c>
      <c r="G509" s="34">
        <f t="shared" si="7"/>
        <v>1.7064089999999998</v>
      </c>
      <c r="H509" s="35"/>
      <c r="I509" s="31"/>
      <c r="J509" s="155">
        <v>0</v>
      </c>
    </row>
    <row r="510" spans="1:10" ht="15" hidden="1" thickBot="1" x14ac:dyDescent="0.35">
      <c r="A510" s="230"/>
      <c r="B510" s="225"/>
      <c r="C510" s="36"/>
      <c r="D510" s="36"/>
      <c r="E510" s="37"/>
      <c r="F510" s="31" t="s">
        <v>560</v>
      </c>
      <c r="G510" s="31" t="str">
        <f t="shared" si="7"/>
        <v/>
      </c>
      <c r="H510" s="35"/>
      <c r="I510" s="31"/>
      <c r="J510" s="155">
        <v>0</v>
      </c>
    </row>
    <row r="511" spans="1:10" ht="15" hidden="1" thickBot="1" x14ac:dyDescent="0.35">
      <c r="A511" s="226" t="s">
        <v>211</v>
      </c>
      <c r="B511" s="223" t="e">
        <f>INDEX(#REF!,MATCH(Composições!A511,#REF!,0),2)</f>
        <v>#REF!</v>
      </c>
      <c r="C511" s="41"/>
      <c r="D511" s="26" t="e">
        <f>TRIM(INDEX(#REF!,MATCH(Composições!A511,#REF!,0),1))</f>
        <v>#REF!</v>
      </c>
      <c r="E511" s="27"/>
      <c r="F511" s="42" t="s">
        <v>560</v>
      </c>
      <c r="G511" s="28" t="str">
        <f t="shared" si="7"/>
        <v/>
      </c>
      <c r="H511" s="29"/>
      <c r="I511" s="30"/>
      <c r="J511" s="155">
        <v>0</v>
      </c>
    </row>
    <row r="512" spans="1:10" ht="15" hidden="1" thickBot="1" x14ac:dyDescent="0.35">
      <c r="A512" s="229"/>
      <c r="B512" s="224"/>
      <c r="C512" s="32"/>
      <c r="D512" s="32"/>
      <c r="E512" s="33"/>
      <c r="F512" s="43" t="s">
        <v>560</v>
      </c>
      <c r="G512" s="31" t="str">
        <f t="shared" si="7"/>
        <v/>
      </c>
      <c r="H512" s="35"/>
      <c r="I512" s="31"/>
      <c r="J512" s="155">
        <v>0</v>
      </c>
    </row>
    <row r="513" spans="1:10" ht="15" hidden="1" thickBot="1" x14ac:dyDescent="0.35">
      <c r="A513" s="229"/>
      <c r="B513" s="224"/>
      <c r="C513" s="36" t="s">
        <v>101</v>
      </c>
      <c r="D513" s="47" t="s">
        <v>12</v>
      </c>
      <c r="E513" s="37">
        <v>0.187</v>
      </c>
      <c r="F513" s="31">
        <v>21.156500000000001</v>
      </c>
      <c r="G513" s="34">
        <f t="shared" si="7"/>
        <v>3.9562655000000002</v>
      </c>
      <c r="H513" s="39">
        <f>SUM(G513:G515)</f>
        <v>11.477057</v>
      </c>
      <c r="I513" s="40"/>
      <c r="J513" s="155">
        <v>0</v>
      </c>
    </row>
    <row r="514" spans="1:10" ht="15" hidden="1" thickBot="1" x14ac:dyDescent="0.35">
      <c r="A514" s="229"/>
      <c r="B514" s="224"/>
      <c r="C514" s="36" t="s">
        <v>23</v>
      </c>
      <c r="D514" s="47" t="s">
        <v>12</v>
      </c>
      <c r="E514" s="37">
        <v>6.9000000000000006E-2</v>
      </c>
      <c r="F514" s="31">
        <v>14.968499999999999</v>
      </c>
      <c r="G514" s="34">
        <f t="shared" si="7"/>
        <v>1.0328265000000001</v>
      </c>
      <c r="H514" s="35"/>
      <c r="I514" s="31"/>
      <c r="J514" s="155">
        <v>0</v>
      </c>
    </row>
    <row r="515" spans="1:10" ht="15" hidden="1" thickBot="1" x14ac:dyDescent="0.35">
      <c r="A515" s="229"/>
      <c r="B515" s="224"/>
      <c r="C515" s="36" t="s">
        <v>212</v>
      </c>
      <c r="D515" s="50" t="s">
        <v>103</v>
      </c>
      <c r="E515" s="37">
        <v>0.33</v>
      </c>
      <c r="F515" s="34">
        <v>19.660499999999999</v>
      </c>
      <c r="G515" s="34">
        <f t="shared" si="7"/>
        <v>6.487965</v>
      </c>
      <c r="H515" s="35"/>
      <c r="I515" s="31"/>
      <c r="J515" s="155">
        <v>0</v>
      </c>
    </row>
    <row r="516" spans="1:10" ht="15" hidden="1" thickBot="1" x14ac:dyDescent="0.35">
      <c r="A516" s="230"/>
      <c r="B516" s="225"/>
      <c r="C516" s="36"/>
      <c r="D516" s="36"/>
      <c r="E516" s="37"/>
      <c r="F516" s="31" t="s">
        <v>560</v>
      </c>
      <c r="G516" s="31" t="str">
        <f t="shared" si="7"/>
        <v/>
      </c>
      <c r="H516" s="35"/>
      <c r="I516" s="31"/>
      <c r="J516" s="155">
        <v>0</v>
      </c>
    </row>
    <row r="517" spans="1:10" ht="15" hidden="1" thickBot="1" x14ac:dyDescent="0.35">
      <c r="A517" s="226" t="s">
        <v>213</v>
      </c>
      <c r="B517" s="223" t="e">
        <f>INDEX(#REF!,MATCH(Composições!A517,#REF!,0),2)</f>
        <v>#REF!</v>
      </c>
      <c r="C517" s="41"/>
      <c r="D517" s="26" t="e">
        <f>TRIM(INDEX(#REF!,MATCH(Composições!A517,#REF!,0),1))</f>
        <v>#REF!</v>
      </c>
      <c r="E517" s="27"/>
      <c r="F517" s="42" t="s">
        <v>560</v>
      </c>
      <c r="G517" s="28" t="str">
        <f t="shared" si="7"/>
        <v/>
      </c>
      <c r="H517" s="29"/>
      <c r="I517" s="30"/>
      <c r="J517" s="155">
        <v>0</v>
      </c>
    </row>
    <row r="518" spans="1:10" ht="15" hidden="1" thickBot="1" x14ac:dyDescent="0.35">
      <c r="A518" s="229"/>
      <c r="B518" s="224"/>
      <c r="C518" s="32"/>
      <c r="D518" s="32"/>
      <c r="E518" s="33"/>
      <c r="F518" s="43" t="s">
        <v>560</v>
      </c>
      <c r="G518" s="31" t="str">
        <f t="shared" ref="G518:G581" si="8">IF(ISNUMBER(F518),E518*F518,"")</f>
        <v/>
      </c>
      <c r="H518" s="35"/>
      <c r="I518" s="31"/>
      <c r="J518" s="155">
        <v>0</v>
      </c>
    </row>
    <row r="519" spans="1:10" ht="15" hidden="1" thickBot="1" x14ac:dyDescent="0.35">
      <c r="A519" s="229"/>
      <c r="B519" s="224"/>
      <c r="C519" s="36" t="s">
        <v>214</v>
      </c>
      <c r="D519" s="50" t="s">
        <v>103</v>
      </c>
      <c r="E519" s="37">
        <f>ROUND(3*3.6/100,4)</f>
        <v>0.108</v>
      </c>
      <c r="F519" s="34" t="s">
        <v>560</v>
      </c>
      <c r="G519" s="31" t="str">
        <f t="shared" si="8"/>
        <v/>
      </c>
      <c r="H519" s="39">
        <f>SUM(G519:G520)</f>
        <v>14.9703394</v>
      </c>
      <c r="I519" s="40"/>
      <c r="J519" s="155">
        <v>0</v>
      </c>
    </row>
    <row r="520" spans="1:10" ht="15" hidden="1" thickBot="1" x14ac:dyDescent="0.35">
      <c r="A520" s="229"/>
      <c r="B520" s="224"/>
      <c r="C520" s="36" t="s">
        <v>101</v>
      </c>
      <c r="D520" s="36" t="s">
        <v>12</v>
      </c>
      <c r="E520" s="37">
        <v>0.70760000000000001</v>
      </c>
      <c r="F520" s="31">
        <v>21.156500000000001</v>
      </c>
      <c r="G520" s="31">
        <f t="shared" si="8"/>
        <v>14.9703394</v>
      </c>
      <c r="H520" s="35"/>
      <c r="I520" s="31"/>
      <c r="J520" s="155">
        <v>0</v>
      </c>
    </row>
    <row r="521" spans="1:10" ht="15" hidden="1" thickBot="1" x14ac:dyDescent="0.35">
      <c r="A521" s="229"/>
      <c r="B521" s="224"/>
      <c r="C521" s="36"/>
      <c r="D521" s="36"/>
      <c r="E521" s="37"/>
      <c r="F521" s="31" t="s">
        <v>560</v>
      </c>
      <c r="G521" s="31"/>
      <c r="H521" s="35"/>
      <c r="I521" s="31"/>
      <c r="J521" s="155">
        <v>0</v>
      </c>
    </row>
    <row r="522" spans="1:10" ht="15" hidden="1" thickBot="1" x14ac:dyDescent="0.35">
      <c r="A522" s="229"/>
      <c r="B522" s="224"/>
      <c r="C522" s="2" t="s">
        <v>1865</v>
      </c>
      <c r="D522" s="36"/>
      <c r="E522" s="37"/>
      <c r="F522" s="31" t="s">
        <v>560</v>
      </c>
      <c r="G522" s="31"/>
      <c r="H522" s="35"/>
      <c r="I522" s="31"/>
      <c r="J522" s="155">
        <v>0</v>
      </c>
    </row>
    <row r="523" spans="1:10" ht="15" hidden="1" thickBot="1" x14ac:dyDescent="0.35">
      <c r="A523" s="230"/>
      <c r="B523" s="225"/>
      <c r="C523" s="36"/>
      <c r="D523" s="36"/>
      <c r="E523" s="37"/>
      <c r="F523" s="31" t="s">
        <v>560</v>
      </c>
      <c r="G523" s="31" t="str">
        <f>IF(ISNUMBER(F523),E523*F523,"")</f>
        <v/>
      </c>
      <c r="H523" s="35"/>
      <c r="I523" s="31"/>
      <c r="J523" s="155">
        <v>0</v>
      </c>
    </row>
    <row r="524" spans="1:10" ht="15" hidden="1" thickBot="1" x14ac:dyDescent="0.35">
      <c r="A524" s="226" t="s">
        <v>215</v>
      </c>
      <c r="B524" s="223" t="e">
        <f>INDEX(#REF!,MATCH(Composições!A524,#REF!,0),2)</f>
        <v>#REF!</v>
      </c>
      <c r="C524" s="41"/>
      <c r="D524" s="26" t="e">
        <f>TRIM(INDEX(#REF!,MATCH(Composições!A524,#REF!,0),1))</f>
        <v>#REF!</v>
      </c>
      <c r="E524" s="27"/>
      <c r="F524" s="42" t="s">
        <v>560</v>
      </c>
      <c r="G524" s="28" t="str">
        <f>IF(ISNUMBER(F524),E524*F524,"")</f>
        <v/>
      </c>
      <c r="H524" s="29"/>
      <c r="I524" s="30"/>
      <c r="J524" s="155">
        <v>0</v>
      </c>
    </row>
    <row r="525" spans="1:10" ht="15" hidden="1" thickBot="1" x14ac:dyDescent="0.35">
      <c r="A525" s="229"/>
      <c r="B525" s="224"/>
      <c r="C525" s="32"/>
      <c r="D525" s="32"/>
      <c r="E525" s="33"/>
      <c r="F525" s="43" t="s">
        <v>560</v>
      </c>
      <c r="G525" s="31" t="str">
        <f>IF(ISNUMBER(F525),E525*F525,"")</f>
        <v/>
      </c>
      <c r="H525" s="35"/>
      <c r="I525" s="31"/>
      <c r="J525" s="155">
        <v>0</v>
      </c>
    </row>
    <row r="526" spans="1:10" ht="15" hidden="1" thickBot="1" x14ac:dyDescent="0.35">
      <c r="A526" s="229"/>
      <c r="B526" s="224"/>
      <c r="C526" s="36" t="s">
        <v>101</v>
      </c>
      <c r="D526" s="47" t="s">
        <v>12</v>
      </c>
      <c r="E526" s="37">
        <v>0.57079999999999997</v>
      </c>
      <c r="F526" s="31">
        <v>21.156500000000001</v>
      </c>
      <c r="G526" s="34">
        <f>IF(ISNUMBER(F526),E526*F526,"")</f>
        <v>12.0761302</v>
      </c>
      <c r="H526" s="39">
        <f>SUM(G526:G527)</f>
        <v>17.899490199999999</v>
      </c>
      <c r="I526" s="40"/>
      <c r="J526" s="155">
        <v>0</v>
      </c>
    </row>
    <row r="527" spans="1:10" ht="15" hidden="1" thickBot="1" x14ac:dyDescent="0.35">
      <c r="A527" s="229"/>
      <c r="B527" s="224"/>
      <c r="C527" s="36" t="s">
        <v>216</v>
      </c>
      <c r="D527" s="50" t="s">
        <v>103</v>
      </c>
      <c r="E527" s="37">
        <f>ROUND(3*3.6/75,4)</f>
        <v>0.14399999999999999</v>
      </c>
      <c r="F527" s="34">
        <v>40.44</v>
      </c>
      <c r="G527" s="34">
        <f>IF(ISNUMBER(F527),E527*F527,"")</f>
        <v>5.8233599999999992</v>
      </c>
      <c r="H527" s="35"/>
      <c r="I527" s="31"/>
      <c r="J527" s="155">
        <v>0</v>
      </c>
    </row>
    <row r="528" spans="1:10" ht="15" hidden="1" thickBot="1" x14ac:dyDescent="0.35">
      <c r="A528" s="229"/>
      <c r="B528" s="224"/>
      <c r="C528" s="36"/>
      <c r="D528" s="50"/>
      <c r="E528" s="37"/>
      <c r="F528" s="34" t="s">
        <v>560</v>
      </c>
      <c r="G528" s="34"/>
      <c r="H528" s="35"/>
      <c r="I528" s="31"/>
      <c r="J528" s="155">
        <v>0</v>
      </c>
    </row>
    <row r="529" spans="1:10" ht="15" hidden="1" thickBot="1" x14ac:dyDescent="0.35">
      <c r="A529" s="229"/>
      <c r="B529" s="224"/>
      <c r="C529" s="2" t="s">
        <v>1864</v>
      </c>
      <c r="D529" s="50"/>
      <c r="E529" s="37"/>
      <c r="F529" s="34" t="s">
        <v>560</v>
      </c>
      <c r="G529" s="34"/>
      <c r="H529" s="35"/>
      <c r="I529" s="31"/>
      <c r="J529" s="155">
        <v>0</v>
      </c>
    </row>
    <row r="530" spans="1:10" ht="15" hidden="1" thickBot="1" x14ac:dyDescent="0.35">
      <c r="A530" s="230"/>
      <c r="B530" s="225"/>
      <c r="C530" s="36"/>
      <c r="D530" s="36"/>
      <c r="E530" s="37"/>
      <c r="F530" s="31" t="s">
        <v>560</v>
      </c>
      <c r="G530" s="31" t="str">
        <f t="shared" ref="G530:G593" si="9">IF(ISNUMBER(F530),E530*F530,"")</f>
        <v/>
      </c>
      <c r="H530" s="35"/>
      <c r="I530" s="31"/>
      <c r="J530" s="155">
        <v>0</v>
      </c>
    </row>
    <row r="531" spans="1:10" ht="15" hidden="1" thickBot="1" x14ac:dyDescent="0.35">
      <c r="A531" s="226" t="s">
        <v>217</v>
      </c>
      <c r="B531" s="223" t="e">
        <f>INDEX(#REF!,MATCH(Composições!A531,#REF!,0),2)</f>
        <v>#REF!</v>
      </c>
      <c r="C531" s="41"/>
      <c r="D531" s="26" t="e">
        <f>TRIM(INDEX(#REF!,MATCH(Composições!A531,#REF!,0),1))</f>
        <v>#REF!</v>
      </c>
      <c r="E531" s="27"/>
      <c r="F531" s="42" t="s">
        <v>560</v>
      </c>
      <c r="G531" s="28" t="str">
        <f t="shared" si="9"/>
        <v/>
      </c>
      <c r="H531" s="29"/>
      <c r="I531" s="30"/>
      <c r="J531" s="155">
        <v>0</v>
      </c>
    </row>
    <row r="532" spans="1:10" ht="15" hidden="1" thickBot="1" x14ac:dyDescent="0.35">
      <c r="A532" s="229"/>
      <c r="B532" s="224"/>
      <c r="C532" s="32"/>
      <c r="D532" s="32"/>
      <c r="E532" s="33"/>
      <c r="F532" s="43" t="s">
        <v>560</v>
      </c>
      <c r="G532" s="31" t="str">
        <f t="shared" si="9"/>
        <v/>
      </c>
      <c r="H532" s="35"/>
      <c r="I532" s="31"/>
      <c r="J532" s="155">
        <v>0</v>
      </c>
    </row>
    <row r="533" spans="1:10" ht="15" hidden="1" thickBot="1" x14ac:dyDescent="0.35">
      <c r="A533" s="229"/>
      <c r="B533" s="224"/>
      <c r="C533" s="36" t="s">
        <v>101</v>
      </c>
      <c r="D533" s="47" t="s">
        <v>12</v>
      </c>
      <c r="E533" s="37">
        <v>0.24399999999999999</v>
      </c>
      <c r="F533" s="31">
        <v>21.156500000000001</v>
      </c>
      <c r="G533" s="34">
        <f t="shared" si="9"/>
        <v>5.1621860000000002</v>
      </c>
      <c r="H533" s="39">
        <f>SUM(G533:G535)</f>
        <v>12.982347499999999</v>
      </c>
      <c r="I533" s="40"/>
      <c r="J533" s="155">
        <v>0</v>
      </c>
    </row>
    <row r="534" spans="1:10" ht="15" hidden="1" thickBot="1" x14ac:dyDescent="0.35">
      <c r="A534" s="229"/>
      <c r="B534" s="224"/>
      <c r="C534" s="36" t="s">
        <v>23</v>
      </c>
      <c r="D534" s="47" t="s">
        <v>12</v>
      </c>
      <c r="E534" s="37">
        <v>8.8999999999999996E-2</v>
      </c>
      <c r="F534" s="31">
        <v>14.968499999999999</v>
      </c>
      <c r="G534" s="34">
        <f t="shared" si="9"/>
        <v>1.3321964999999998</v>
      </c>
      <c r="H534" s="35"/>
      <c r="I534" s="31"/>
      <c r="J534" s="155">
        <v>0</v>
      </c>
    </row>
    <row r="535" spans="1:10" ht="15" hidden="1" thickBot="1" x14ac:dyDescent="0.35">
      <c r="A535" s="229"/>
      <c r="B535" s="224"/>
      <c r="C535" s="36" t="s">
        <v>212</v>
      </c>
      <c r="D535" s="50" t="s">
        <v>103</v>
      </c>
      <c r="E535" s="37">
        <v>0.33</v>
      </c>
      <c r="F535" s="34">
        <v>19.660499999999999</v>
      </c>
      <c r="G535" s="34">
        <f t="shared" si="9"/>
        <v>6.487965</v>
      </c>
      <c r="H535" s="35"/>
      <c r="I535" s="31"/>
      <c r="J535" s="155">
        <v>0</v>
      </c>
    </row>
    <row r="536" spans="1:10" ht="15" hidden="1" thickBot="1" x14ac:dyDescent="0.35">
      <c r="A536" s="230"/>
      <c r="B536" s="225"/>
      <c r="C536" s="36"/>
      <c r="D536" s="36"/>
      <c r="E536" s="37"/>
      <c r="F536" s="31" t="s">
        <v>560</v>
      </c>
      <c r="G536" s="31" t="str">
        <f t="shared" si="9"/>
        <v/>
      </c>
      <c r="H536" s="35"/>
      <c r="I536" s="31"/>
      <c r="J536" s="155">
        <v>0</v>
      </c>
    </row>
    <row r="537" spans="1:10" ht="15" hidden="1" thickBot="1" x14ac:dyDescent="0.35">
      <c r="A537" s="226" t="s">
        <v>218</v>
      </c>
      <c r="B537" s="223" t="e">
        <f>INDEX(#REF!,MATCH(Composições!A537,#REF!,0),2)</f>
        <v>#REF!</v>
      </c>
      <c r="C537" s="41"/>
      <c r="D537" s="26" t="e">
        <f>TRIM(INDEX(#REF!,MATCH(Composições!A537,#REF!,0),1))</f>
        <v>#REF!</v>
      </c>
      <c r="E537" s="27"/>
      <c r="F537" s="42" t="s">
        <v>560</v>
      </c>
      <c r="G537" s="28" t="str">
        <f t="shared" si="9"/>
        <v/>
      </c>
      <c r="H537" s="29"/>
      <c r="I537" s="30"/>
      <c r="J537" s="155">
        <v>0</v>
      </c>
    </row>
    <row r="538" spans="1:10" ht="15" hidden="1" thickBot="1" x14ac:dyDescent="0.35">
      <c r="A538" s="229"/>
      <c r="B538" s="224"/>
      <c r="C538" s="32"/>
      <c r="D538" s="32"/>
      <c r="E538" s="33"/>
      <c r="F538" s="43" t="s">
        <v>560</v>
      </c>
      <c r="G538" s="31" t="str">
        <f t="shared" si="9"/>
        <v/>
      </c>
      <c r="H538" s="35"/>
      <c r="I538" s="31"/>
      <c r="J538" s="155">
        <v>0</v>
      </c>
    </row>
    <row r="539" spans="1:10" ht="27" hidden="1" thickBot="1" x14ac:dyDescent="0.35">
      <c r="A539" s="229"/>
      <c r="B539" s="224"/>
      <c r="C539" s="36" t="s">
        <v>219</v>
      </c>
      <c r="D539" s="36" t="s">
        <v>95</v>
      </c>
      <c r="E539" s="37">
        <v>1.08</v>
      </c>
      <c r="F539" s="34">
        <v>32.146999999999998</v>
      </c>
      <c r="G539" s="34">
        <f t="shared" si="9"/>
        <v>34.718760000000003</v>
      </c>
      <c r="H539" s="39">
        <f>SUM(G539:G543)</f>
        <v>58.29589</v>
      </c>
      <c r="I539" s="40"/>
      <c r="J539" s="155">
        <v>0</v>
      </c>
    </row>
    <row r="540" spans="1:10" ht="15" hidden="1" thickBot="1" x14ac:dyDescent="0.35">
      <c r="A540" s="229"/>
      <c r="B540" s="224"/>
      <c r="C540" s="36" t="s">
        <v>1934</v>
      </c>
      <c r="D540" s="36" t="s">
        <v>42</v>
      </c>
      <c r="E540" s="37">
        <v>6.14</v>
      </c>
      <c r="F540" s="34">
        <v>0.7054999999999999</v>
      </c>
      <c r="G540" s="34">
        <f t="shared" si="9"/>
        <v>4.3317699999999988</v>
      </c>
      <c r="H540" s="35"/>
      <c r="I540" s="31"/>
      <c r="J540" s="155">
        <v>0</v>
      </c>
    </row>
    <row r="541" spans="1:10" ht="15" hidden="1" thickBot="1" x14ac:dyDescent="0.35">
      <c r="A541" s="229"/>
      <c r="B541" s="224"/>
      <c r="C541" s="36" t="s">
        <v>1932</v>
      </c>
      <c r="D541" s="36" t="s">
        <v>42</v>
      </c>
      <c r="E541" s="37">
        <v>0.22</v>
      </c>
      <c r="F541" s="34">
        <v>2.2440000000000002</v>
      </c>
      <c r="G541" s="34">
        <f t="shared" si="9"/>
        <v>0.49368000000000006</v>
      </c>
      <c r="H541" s="35"/>
      <c r="I541" s="31"/>
      <c r="J541" s="155">
        <v>0</v>
      </c>
    </row>
    <row r="542" spans="1:10" ht="15" hidden="1" thickBot="1" x14ac:dyDescent="0.35">
      <c r="A542" s="229"/>
      <c r="B542" s="224"/>
      <c r="C542" s="36" t="s">
        <v>36</v>
      </c>
      <c r="D542" s="36" t="s">
        <v>12</v>
      </c>
      <c r="E542" s="37">
        <v>0.66</v>
      </c>
      <c r="F542" s="31">
        <v>20.247</v>
      </c>
      <c r="G542" s="34">
        <f t="shared" si="9"/>
        <v>13.363020000000001</v>
      </c>
      <c r="H542" s="35"/>
      <c r="I542" s="31"/>
      <c r="J542" s="155">
        <v>0</v>
      </c>
    </row>
    <row r="543" spans="1:10" ht="15" hidden="1" thickBot="1" x14ac:dyDescent="0.35">
      <c r="A543" s="229"/>
      <c r="B543" s="224"/>
      <c r="C543" s="36" t="s">
        <v>23</v>
      </c>
      <c r="D543" s="36" t="s">
        <v>12</v>
      </c>
      <c r="E543" s="37">
        <v>0.36</v>
      </c>
      <c r="F543" s="31">
        <v>14.968499999999999</v>
      </c>
      <c r="G543" s="34">
        <f t="shared" si="9"/>
        <v>5.3886599999999998</v>
      </c>
      <c r="H543" s="35"/>
      <c r="I543" s="31"/>
      <c r="J543" s="155">
        <v>0</v>
      </c>
    </row>
    <row r="544" spans="1:10" ht="15" hidden="1" thickBot="1" x14ac:dyDescent="0.35">
      <c r="A544" s="230"/>
      <c r="B544" s="225"/>
      <c r="C544" s="36"/>
      <c r="D544" s="36"/>
      <c r="E544" s="37"/>
      <c r="F544" s="31" t="s">
        <v>560</v>
      </c>
      <c r="G544" s="31" t="str">
        <f t="shared" si="9"/>
        <v/>
      </c>
      <c r="H544" s="35"/>
      <c r="I544" s="31"/>
      <c r="J544" s="155">
        <v>0</v>
      </c>
    </row>
    <row r="545" spans="1:10" ht="15" hidden="1" thickBot="1" x14ac:dyDescent="0.35">
      <c r="A545" s="226" t="s">
        <v>220</v>
      </c>
      <c r="B545" s="223" t="e">
        <f>INDEX(#REF!,MATCH(Composições!A545,#REF!,0),2)</f>
        <v>#REF!</v>
      </c>
      <c r="C545" s="41"/>
      <c r="D545" s="26" t="e">
        <f>TRIM(INDEX(#REF!,MATCH(Composições!A545,#REF!,0),1))</f>
        <v>#REF!</v>
      </c>
      <c r="E545" s="27"/>
      <c r="F545" s="42" t="s">
        <v>560</v>
      </c>
      <c r="G545" s="28" t="str">
        <f t="shared" si="9"/>
        <v/>
      </c>
      <c r="H545" s="29"/>
      <c r="I545" s="30"/>
      <c r="J545" s="155">
        <v>0</v>
      </c>
    </row>
    <row r="546" spans="1:10" ht="15" hidden="1" thickBot="1" x14ac:dyDescent="0.35">
      <c r="A546" s="229"/>
      <c r="B546" s="224"/>
      <c r="C546" s="32"/>
      <c r="D546" s="32"/>
      <c r="E546" s="33"/>
      <c r="F546" s="43" t="s">
        <v>560</v>
      </c>
      <c r="G546" s="31" t="str">
        <f t="shared" si="9"/>
        <v/>
      </c>
      <c r="H546" s="35"/>
      <c r="I546" s="31"/>
      <c r="J546" s="155">
        <v>0</v>
      </c>
    </row>
    <row r="547" spans="1:10" ht="27" hidden="1" thickBot="1" x14ac:dyDescent="0.35">
      <c r="A547" s="229"/>
      <c r="B547" s="224"/>
      <c r="C547" s="36" t="s">
        <v>221</v>
      </c>
      <c r="D547" s="36" t="s">
        <v>110</v>
      </c>
      <c r="E547" s="37">
        <v>5.2999999999999999E-2</v>
      </c>
      <c r="F547" s="34">
        <v>536.41532560249993</v>
      </c>
      <c r="G547" s="34">
        <f t="shared" si="9"/>
        <v>28.430012256932496</v>
      </c>
      <c r="H547" s="39">
        <f>SUM(G547:G551)</f>
        <v>42.993869756932497</v>
      </c>
      <c r="I547" s="40"/>
      <c r="J547" s="155">
        <v>0</v>
      </c>
    </row>
    <row r="548" spans="1:10" ht="15" hidden="1" thickBot="1" x14ac:dyDescent="0.35">
      <c r="A548" s="229"/>
      <c r="B548" s="224"/>
      <c r="C548" s="36" t="s">
        <v>22</v>
      </c>
      <c r="D548" s="36" t="s">
        <v>12</v>
      </c>
      <c r="E548" s="37">
        <v>0.36</v>
      </c>
      <c r="F548" s="31">
        <v>20.314999999999998</v>
      </c>
      <c r="G548" s="34">
        <f t="shared" si="9"/>
        <v>7.3133999999999988</v>
      </c>
      <c r="H548" s="35"/>
      <c r="I548" s="31"/>
      <c r="J548" s="155">
        <v>0</v>
      </c>
    </row>
    <row r="549" spans="1:10" ht="15" hidden="1" thickBot="1" x14ac:dyDescent="0.35">
      <c r="A549" s="229"/>
      <c r="B549" s="224"/>
      <c r="C549" s="36" t="s">
        <v>23</v>
      </c>
      <c r="D549" s="36" t="s">
        <v>12</v>
      </c>
      <c r="E549" s="37">
        <v>0.18</v>
      </c>
      <c r="F549" s="31">
        <v>14.968499999999999</v>
      </c>
      <c r="G549" s="34">
        <f t="shared" si="9"/>
        <v>2.6943299999999999</v>
      </c>
      <c r="H549" s="35"/>
      <c r="I549" s="31"/>
      <c r="J549" s="155">
        <v>0</v>
      </c>
    </row>
    <row r="550" spans="1:10" ht="15" hidden="1" thickBot="1" x14ac:dyDescent="0.35">
      <c r="A550" s="229"/>
      <c r="B550" s="224"/>
      <c r="C550" s="36" t="s">
        <v>116</v>
      </c>
      <c r="D550" s="47" t="s">
        <v>42</v>
      </c>
      <c r="E550" s="37">
        <v>0.5</v>
      </c>
      <c r="F550" s="34">
        <v>0.46750000000000003</v>
      </c>
      <c r="G550" s="34">
        <f t="shared" si="9"/>
        <v>0.23375000000000001</v>
      </c>
      <c r="H550" s="35"/>
      <c r="I550" s="31"/>
      <c r="J550" s="155">
        <v>0</v>
      </c>
    </row>
    <row r="551" spans="1:10" ht="15" hidden="1" thickBot="1" x14ac:dyDescent="0.35">
      <c r="A551" s="229"/>
      <c r="B551" s="224"/>
      <c r="C551" s="36" t="s">
        <v>222</v>
      </c>
      <c r="D551" s="50" t="s">
        <v>103</v>
      </c>
      <c r="E551" s="37">
        <v>0.435</v>
      </c>
      <c r="F551" s="34">
        <v>9.9364999999999988</v>
      </c>
      <c r="G551" s="34">
        <f t="shared" si="9"/>
        <v>4.3223774999999991</v>
      </c>
      <c r="H551" s="35"/>
      <c r="I551" s="31"/>
      <c r="J551" s="155">
        <v>0</v>
      </c>
    </row>
    <row r="552" spans="1:10" ht="15" hidden="1" thickBot="1" x14ac:dyDescent="0.35">
      <c r="A552" s="230"/>
      <c r="B552" s="225"/>
      <c r="C552" s="36"/>
      <c r="D552" s="36"/>
      <c r="E552" s="37"/>
      <c r="F552" s="31" t="s">
        <v>560</v>
      </c>
      <c r="G552" s="31" t="str">
        <f t="shared" si="9"/>
        <v/>
      </c>
      <c r="H552" s="35"/>
      <c r="I552" s="31"/>
      <c r="J552" s="155">
        <v>0</v>
      </c>
    </row>
    <row r="553" spans="1:10" ht="15" thickBot="1" x14ac:dyDescent="0.35">
      <c r="A553" s="226" t="s">
        <v>223</v>
      </c>
      <c r="B553" s="223" t="str">
        <f>INDEX(Orçamentária!A:B,MATCH(Composições!A553,Orçamentária!A:A,0),2)</f>
        <v>Contrapiso em argamassa (e=2cm) ou Regularização de contrapiso existente</v>
      </c>
      <c r="C553" s="41"/>
      <c r="D553" s="26" t="str">
        <f>TRIM(INDEX(Orçamentária!C:C,MATCH(Composições!A553,Orçamentária!A:A,0),1))</f>
        <v>m2</v>
      </c>
      <c r="E553" s="27"/>
      <c r="F553" s="42" t="s">
        <v>560</v>
      </c>
      <c r="G553" s="28" t="str">
        <f t="shared" si="9"/>
        <v/>
      </c>
      <c r="H553" s="29"/>
      <c r="I553" s="30"/>
      <c r="J553" s="155">
        <v>52</v>
      </c>
    </row>
    <row r="554" spans="1:10" x14ac:dyDescent="0.3">
      <c r="A554" s="229"/>
      <c r="B554" s="224"/>
      <c r="C554" s="32"/>
      <c r="D554" s="32"/>
      <c r="E554" s="33"/>
      <c r="F554" s="43" t="s">
        <v>560</v>
      </c>
      <c r="G554" s="31" t="str">
        <f t="shared" si="9"/>
        <v/>
      </c>
      <c r="H554" s="35"/>
      <c r="I554" s="31"/>
      <c r="J554" s="155">
        <v>52</v>
      </c>
    </row>
    <row r="555" spans="1:10" x14ac:dyDescent="0.3">
      <c r="A555" s="229"/>
      <c r="B555" s="224"/>
      <c r="C555" s="36" t="s">
        <v>116</v>
      </c>
      <c r="D555" s="36" t="s">
        <v>42</v>
      </c>
      <c r="E555" s="37">
        <v>0.5</v>
      </c>
      <c r="F555" s="34">
        <v>0.46750000000000003</v>
      </c>
      <c r="G555" s="34">
        <f t="shared" si="9"/>
        <v>0.23375000000000001</v>
      </c>
      <c r="H555" s="39">
        <f>SUM(G555:G559)</f>
        <v>29.246785093677495</v>
      </c>
      <c r="I555" s="40"/>
      <c r="J555" s="155">
        <v>52</v>
      </c>
    </row>
    <row r="556" spans="1:10" x14ac:dyDescent="0.3">
      <c r="A556" s="229"/>
      <c r="B556" s="224"/>
      <c r="C556" s="36" t="s">
        <v>222</v>
      </c>
      <c r="D556" s="50" t="s">
        <v>103</v>
      </c>
      <c r="E556" s="37">
        <v>0.435</v>
      </c>
      <c r="F556" s="34">
        <v>9.9364999999999988</v>
      </c>
      <c r="G556" s="34">
        <f t="shared" si="9"/>
        <v>4.3223774999999991</v>
      </c>
      <c r="H556" s="35"/>
      <c r="I556" s="31"/>
      <c r="J556" s="155">
        <v>52</v>
      </c>
    </row>
    <row r="557" spans="1:10" ht="26.4" x14ac:dyDescent="0.3">
      <c r="A557" s="229"/>
      <c r="B557" s="224"/>
      <c r="C557" s="36" t="s">
        <v>221</v>
      </c>
      <c r="D557" s="36" t="s">
        <v>110</v>
      </c>
      <c r="E557" s="37">
        <v>3.1E-2</v>
      </c>
      <c r="F557" s="34">
        <v>536.41532560249993</v>
      </c>
      <c r="G557" s="34">
        <f t="shared" si="9"/>
        <v>16.628875093677497</v>
      </c>
      <c r="H557" s="35"/>
      <c r="I557" s="31"/>
      <c r="J557" s="155">
        <v>52</v>
      </c>
    </row>
    <row r="558" spans="1:10" x14ac:dyDescent="0.3">
      <c r="A558" s="229"/>
      <c r="B558" s="224"/>
      <c r="C558" s="36" t="s">
        <v>22</v>
      </c>
      <c r="D558" s="47" t="s">
        <v>12</v>
      </c>
      <c r="E558" s="37">
        <v>0.28999999999999998</v>
      </c>
      <c r="F558" s="31">
        <v>20.314999999999998</v>
      </c>
      <c r="G558" s="34">
        <f t="shared" si="9"/>
        <v>5.8913499999999992</v>
      </c>
      <c r="H558" s="35"/>
      <c r="I558" s="31"/>
      <c r="J558" s="155">
        <v>52</v>
      </c>
    </row>
    <row r="559" spans="1:10" x14ac:dyDescent="0.3">
      <c r="A559" s="229"/>
      <c r="B559" s="224"/>
      <c r="C559" s="36" t="s">
        <v>23</v>
      </c>
      <c r="D559" s="47" t="s">
        <v>12</v>
      </c>
      <c r="E559" s="37">
        <v>0.14499999999999999</v>
      </c>
      <c r="F559" s="31">
        <v>14.968499999999999</v>
      </c>
      <c r="G559" s="34">
        <f t="shared" si="9"/>
        <v>2.1704324999999995</v>
      </c>
      <c r="H559" s="35"/>
      <c r="I559" s="31"/>
      <c r="J559" s="155">
        <v>52</v>
      </c>
    </row>
    <row r="560" spans="1:10" ht="15" thickBot="1" x14ac:dyDescent="0.35">
      <c r="A560" s="230"/>
      <c r="B560" s="225"/>
      <c r="C560" s="36"/>
      <c r="D560" s="36"/>
      <c r="E560" s="37"/>
      <c r="F560" s="31" t="s">
        <v>560</v>
      </c>
      <c r="G560" s="31" t="str">
        <f t="shared" si="9"/>
        <v/>
      </c>
      <c r="H560" s="35"/>
      <c r="I560" s="31"/>
      <c r="J560" s="155">
        <v>52</v>
      </c>
    </row>
    <row r="561" spans="1:10" ht="15" hidden="1" thickBot="1" x14ac:dyDescent="0.35">
      <c r="A561" s="226" t="s">
        <v>224</v>
      </c>
      <c r="B561" s="223" t="e">
        <f>INDEX(#REF!,MATCH(Composições!A561,#REF!,0),2)</f>
        <v>#REF!</v>
      </c>
      <c r="C561" s="41"/>
      <c r="D561" s="26" t="e">
        <f>TRIM(INDEX(#REF!,MATCH(Composições!A561,#REF!,0),1))</f>
        <v>#REF!</v>
      </c>
      <c r="E561" s="27"/>
      <c r="F561" s="42" t="s">
        <v>560</v>
      </c>
      <c r="G561" s="28" t="str">
        <f t="shared" si="9"/>
        <v/>
      </c>
      <c r="H561" s="29"/>
      <c r="I561" s="30"/>
      <c r="J561" s="155">
        <v>0</v>
      </c>
    </row>
    <row r="562" spans="1:10" ht="15" hidden="1" thickBot="1" x14ac:dyDescent="0.35">
      <c r="A562" s="229"/>
      <c r="B562" s="224"/>
      <c r="C562" s="32"/>
      <c r="D562" s="32"/>
      <c r="E562" s="33"/>
      <c r="F562" s="43" t="s">
        <v>560</v>
      </c>
      <c r="G562" s="31" t="str">
        <f t="shared" si="9"/>
        <v/>
      </c>
      <c r="H562" s="35"/>
      <c r="I562" s="31"/>
      <c r="J562" s="155">
        <v>0</v>
      </c>
    </row>
    <row r="563" spans="1:10" ht="15" hidden="1" thickBot="1" x14ac:dyDescent="0.35">
      <c r="A563" s="229"/>
      <c r="B563" s="224"/>
      <c r="C563" s="36" t="s">
        <v>1933</v>
      </c>
      <c r="D563" s="36" t="s">
        <v>42</v>
      </c>
      <c r="E563" s="37">
        <v>8.6199999999999992</v>
      </c>
      <c r="F563" s="34">
        <v>1.1729999999999998</v>
      </c>
      <c r="G563" s="34">
        <f t="shared" si="9"/>
        <v>10.111259999999998</v>
      </c>
      <c r="H563" s="39">
        <f>SUM(G563:G567)</f>
        <v>39.421827</v>
      </c>
      <c r="I563" s="40"/>
      <c r="J563" s="155">
        <v>0</v>
      </c>
    </row>
    <row r="564" spans="1:10" ht="15" hidden="1" thickBot="1" x14ac:dyDescent="0.35">
      <c r="A564" s="229"/>
      <c r="B564" s="224"/>
      <c r="C564" s="36" t="s">
        <v>54</v>
      </c>
      <c r="D564" s="36" t="s">
        <v>12</v>
      </c>
      <c r="E564" s="37">
        <v>1.1879999999999999</v>
      </c>
      <c r="F564" s="31">
        <v>16.923500000000001</v>
      </c>
      <c r="G564" s="34">
        <f t="shared" si="9"/>
        <v>20.105118000000001</v>
      </c>
      <c r="H564" s="35"/>
      <c r="I564" s="31"/>
      <c r="J564" s="155">
        <v>0</v>
      </c>
    </row>
    <row r="565" spans="1:10" ht="15" hidden="1" thickBot="1" x14ac:dyDescent="0.35">
      <c r="A565" s="229"/>
      <c r="B565" s="224"/>
      <c r="C565" s="36" t="s">
        <v>23</v>
      </c>
      <c r="D565" s="36" t="s">
        <v>12</v>
      </c>
      <c r="E565" s="37">
        <v>0.59399999999999997</v>
      </c>
      <c r="F565" s="31">
        <v>14.968499999999999</v>
      </c>
      <c r="G565" s="34">
        <f t="shared" si="9"/>
        <v>8.8912889999999987</v>
      </c>
      <c r="H565" s="35"/>
      <c r="I565" s="31"/>
      <c r="J565" s="155">
        <v>0</v>
      </c>
    </row>
    <row r="566" spans="1:10" ht="15" hidden="1" thickBot="1" x14ac:dyDescent="0.35">
      <c r="A566" s="229"/>
      <c r="B566" s="224"/>
      <c r="C566" s="36" t="s">
        <v>1932</v>
      </c>
      <c r="D566" s="36" t="s">
        <v>42</v>
      </c>
      <c r="E566" s="37">
        <v>0.14000000000000001</v>
      </c>
      <c r="F566" s="34">
        <v>2.2440000000000002</v>
      </c>
      <c r="G566" s="34">
        <f t="shared" si="9"/>
        <v>0.31416000000000005</v>
      </c>
      <c r="H566" s="35"/>
      <c r="I566" s="31"/>
      <c r="J566" s="155">
        <v>0</v>
      </c>
    </row>
    <row r="567" spans="1:10" ht="15" hidden="1" thickBot="1" x14ac:dyDescent="0.35">
      <c r="A567" s="229"/>
      <c r="B567" s="224"/>
      <c r="C567" s="36" t="s">
        <v>225</v>
      </c>
      <c r="D567" s="36" t="s">
        <v>95</v>
      </c>
      <c r="E567" s="37">
        <v>1.1599999999999999</v>
      </c>
      <c r="F567" s="34" t="s">
        <v>560</v>
      </c>
      <c r="G567" s="54" t="str">
        <f t="shared" si="9"/>
        <v/>
      </c>
      <c r="H567" s="35"/>
      <c r="I567" s="31"/>
      <c r="J567" s="155">
        <v>0</v>
      </c>
    </row>
    <row r="568" spans="1:10" ht="15" hidden="1" thickBot="1" x14ac:dyDescent="0.35">
      <c r="A568" s="230"/>
      <c r="B568" s="225"/>
      <c r="C568" s="36"/>
      <c r="D568" s="36"/>
      <c r="E568" s="37"/>
      <c r="F568" s="31" t="s">
        <v>560</v>
      </c>
      <c r="G568" s="31" t="str">
        <f t="shared" si="9"/>
        <v/>
      </c>
      <c r="H568" s="35"/>
      <c r="I568" s="31"/>
      <c r="J568" s="155">
        <v>0</v>
      </c>
    </row>
    <row r="569" spans="1:10" ht="15" hidden="1" thickBot="1" x14ac:dyDescent="0.35">
      <c r="A569" s="226" t="s">
        <v>226</v>
      </c>
      <c r="B569" s="223" t="e">
        <f>INDEX(#REF!,MATCH(Composições!A569,#REF!,0),2)</f>
        <v>#REF!</v>
      </c>
      <c r="C569" s="41"/>
      <c r="D569" s="26" t="e">
        <f>TRIM(INDEX(#REF!,MATCH(Composições!A569,#REF!,0),1))</f>
        <v>#REF!</v>
      </c>
      <c r="E569" s="27"/>
      <c r="F569" s="42" t="s">
        <v>560</v>
      </c>
      <c r="G569" s="28" t="str">
        <f t="shared" si="9"/>
        <v/>
      </c>
      <c r="H569" s="29"/>
      <c r="I569" s="30"/>
      <c r="J569" s="155">
        <v>0</v>
      </c>
    </row>
    <row r="570" spans="1:10" ht="15" hidden="1" thickBot="1" x14ac:dyDescent="0.35">
      <c r="A570" s="229"/>
      <c r="B570" s="224"/>
      <c r="C570" s="32"/>
      <c r="D570" s="32"/>
      <c r="E570" s="33"/>
      <c r="F570" s="43" t="s">
        <v>560</v>
      </c>
      <c r="G570" s="31" t="str">
        <f t="shared" si="9"/>
        <v/>
      </c>
      <c r="H570" s="35"/>
      <c r="I570" s="31"/>
      <c r="J570" s="155">
        <v>0</v>
      </c>
    </row>
    <row r="571" spans="1:10" ht="27" hidden="1" thickBot="1" x14ac:dyDescent="0.35">
      <c r="A571" s="229"/>
      <c r="B571" s="224"/>
      <c r="C571" s="36" t="s">
        <v>227</v>
      </c>
      <c r="D571" s="36" t="s">
        <v>93</v>
      </c>
      <c r="E571" s="37">
        <f>ROUND(1.04/0.07,4)</f>
        <v>14.857100000000001</v>
      </c>
      <c r="F571" s="34" t="s">
        <v>560</v>
      </c>
      <c r="G571" s="34" t="str">
        <f t="shared" si="9"/>
        <v/>
      </c>
      <c r="H571" s="39">
        <f>SUM(G571:G575)</f>
        <v>85.851036999999991</v>
      </c>
      <c r="I571" s="40"/>
      <c r="J571" s="155">
        <v>0</v>
      </c>
    </row>
    <row r="572" spans="1:10" ht="15" hidden="1" thickBot="1" x14ac:dyDescent="0.35">
      <c r="A572" s="229"/>
      <c r="B572" s="224"/>
      <c r="C572" s="36" t="s">
        <v>1933</v>
      </c>
      <c r="D572" s="36" t="s">
        <v>42</v>
      </c>
      <c r="E572" s="37">
        <f>ROUND(0.8614/0.1,4)</f>
        <v>8.6140000000000008</v>
      </c>
      <c r="F572" s="34">
        <v>1.1729999999999998</v>
      </c>
      <c r="G572" s="34">
        <f t="shared" si="9"/>
        <v>10.104222</v>
      </c>
      <c r="H572" s="45"/>
      <c r="I572" s="46"/>
      <c r="J572" s="155">
        <v>0</v>
      </c>
    </row>
    <row r="573" spans="1:10" ht="15" hidden="1" thickBot="1" x14ac:dyDescent="0.35">
      <c r="A573" s="229"/>
      <c r="B573" s="224"/>
      <c r="C573" s="36" t="s">
        <v>54</v>
      </c>
      <c r="D573" s="36" t="s">
        <v>12</v>
      </c>
      <c r="E573" s="37">
        <f>0.299/0.1</f>
        <v>2.9899999999999998</v>
      </c>
      <c r="F573" s="31">
        <v>16.923500000000001</v>
      </c>
      <c r="G573" s="34">
        <f t="shared" si="9"/>
        <v>50.601264999999998</v>
      </c>
      <c r="H573" s="35"/>
      <c r="I573" s="31"/>
      <c r="J573" s="155">
        <v>0</v>
      </c>
    </row>
    <row r="574" spans="1:10" ht="15" hidden="1" thickBot="1" x14ac:dyDescent="0.35">
      <c r="A574" s="229"/>
      <c r="B574" s="224"/>
      <c r="C574" s="36" t="s">
        <v>23</v>
      </c>
      <c r="D574" s="36" t="s">
        <v>12</v>
      </c>
      <c r="E574" s="37">
        <f>0.15/0.1</f>
        <v>1.4999999999999998</v>
      </c>
      <c r="F574" s="31">
        <v>14.968499999999999</v>
      </c>
      <c r="G574" s="34">
        <f t="shared" si="9"/>
        <v>22.452749999999995</v>
      </c>
      <c r="H574" s="35"/>
      <c r="I574" s="31"/>
      <c r="J574" s="155">
        <v>0</v>
      </c>
    </row>
    <row r="575" spans="1:10" ht="15" hidden="1" thickBot="1" x14ac:dyDescent="0.35">
      <c r="A575" s="229"/>
      <c r="B575" s="224"/>
      <c r="C575" s="36" t="s">
        <v>1932</v>
      </c>
      <c r="D575" s="36" t="s">
        <v>42</v>
      </c>
      <c r="E575" s="37">
        <f>0.12/0.1</f>
        <v>1.2</v>
      </c>
      <c r="F575" s="34">
        <v>2.2440000000000002</v>
      </c>
      <c r="G575" s="34">
        <f t="shared" si="9"/>
        <v>2.6928000000000001</v>
      </c>
      <c r="H575" s="35"/>
      <c r="I575" s="31"/>
      <c r="J575" s="155">
        <v>0</v>
      </c>
    </row>
    <row r="576" spans="1:10" ht="15" hidden="1" thickBot="1" x14ac:dyDescent="0.35">
      <c r="A576" s="229"/>
      <c r="B576" s="224"/>
      <c r="C576" s="36"/>
      <c r="D576" s="36"/>
      <c r="E576" s="37"/>
      <c r="F576" s="34" t="s">
        <v>560</v>
      </c>
      <c r="G576" s="34" t="str">
        <f t="shared" si="9"/>
        <v/>
      </c>
      <c r="H576" s="35"/>
      <c r="I576" s="31"/>
      <c r="J576" s="155">
        <v>0</v>
      </c>
    </row>
    <row r="577" spans="1:10" ht="27" hidden="1" thickBot="1" x14ac:dyDescent="0.35">
      <c r="A577" s="229"/>
      <c r="B577" s="224"/>
      <c r="C577" s="48" t="s">
        <v>228</v>
      </c>
      <c r="D577" s="36"/>
      <c r="E577" s="37"/>
      <c r="F577" s="34" t="s">
        <v>560</v>
      </c>
      <c r="G577" s="34" t="str">
        <f t="shared" si="9"/>
        <v/>
      </c>
      <c r="H577" s="35"/>
      <c r="I577" s="31"/>
      <c r="J577" s="155">
        <v>0</v>
      </c>
    </row>
    <row r="578" spans="1:10" ht="15" hidden="1" thickBot="1" x14ac:dyDescent="0.35">
      <c r="A578" s="230"/>
      <c r="B578" s="225"/>
      <c r="C578" s="36"/>
      <c r="D578" s="36"/>
      <c r="E578" s="37"/>
      <c r="F578" s="31" t="s">
        <v>560</v>
      </c>
      <c r="G578" s="31" t="str">
        <f t="shared" si="9"/>
        <v/>
      </c>
      <c r="H578" s="35"/>
      <c r="I578" s="31"/>
      <c r="J578" s="155">
        <v>0</v>
      </c>
    </row>
    <row r="579" spans="1:10" ht="15" hidden="1" thickBot="1" x14ac:dyDescent="0.35">
      <c r="A579" s="226" t="s">
        <v>229</v>
      </c>
      <c r="B579" s="223" t="e">
        <f>INDEX(#REF!,MATCH(Composições!A579,#REF!,0),2)</f>
        <v>#REF!</v>
      </c>
      <c r="C579" s="41"/>
      <c r="D579" s="26" t="e">
        <f>TRIM(INDEX(#REF!,MATCH(Composições!A579,#REF!,0),1))</f>
        <v>#REF!</v>
      </c>
      <c r="E579" s="27"/>
      <c r="F579" s="42" t="s">
        <v>560</v>
      </c>
      <c r="G579" s="28" t="str">
        <f t="shared" si="9"/>
        <v/>
      </c>
      <c r="H579" s="29"/>
      <c r="I579" s="30"/>
      <c r="J579" s="155">
        <v>0</v>
      </c>
    </row>
    <row r="580" spans="1:10" ht="15" hidden="1" thickBot="1" x14ac:dyDescent="0.35">
      <c r="A580" s="229"/>
      <c r="B580" s="224"/>
      <c r="C580" s="32"/>
      <c r="D580" s="32"/>
      <c r="E580" s="33"/>
      <c r="F580" s="43" t="s">
        <v>560</v>
      </c>
      <c r="G580" s="31" t="str">
        <f t="shared" si="9"/>
        <v/>
      </c>
      <c r="H580" s="35"/>
      <c r="I580" s="31"/>
      <c r="J580" s="155">
        <v>0</v>
      </c>
    </row>
    <row r="581" spans="1:10" ht="27" hidden="1" thickBot="1" x14ac:dyDescent="0.35">
      <c r="A581" s="229"/>
      <c r="B581" s="224"/>
      <c r="C581" s="36" t="s">
        <v>230</v>
      </c>
      <c r="D581" s="36" t="s">
        <v>93</v>
      </c>
      <c r="E581" s="37">
        <f>ROUND(1/0.15,4)</f>
        <v>6.6666999999999996</v>
      </c>
      <c r="F581" s="34" t="s">
        <v>560</v>
      </c>
      <c r="G581" s="34" t="str">
        <f t="shared" si="9"/>
        <v/>
      </c>
      <c r="H581" s="39">
        <f>SUM(G581:G584)</f>
        <v>99.04539745000001</v>
      </c>
      <c r="I581" s="40"/>
      <c r="J581" s="155">
        <v>0</v>
      </c>
    </row>
    <row r="582" spans="1:10" ht="15" hidden="1" thickBot="1" x14ac:dyDescent="0.35">
      <c r="A582" s="229"/>
      <c r="B582" s="224"/>
      <c r="C582" s="36" t="s">
        <v>1933</v>
      </c>
      <c r="D582" s="36" t="s">
        <v>42</v>
      </c>
      <c r="E582" s="37">
        <f>1.29/0.15</f>
        <v>8.6000000000000014</v>
      </c>
      <c r="F582" s="34">
        <v>1.1729999999999998</v>
      </c>
      <c r="G582" s="34">
        <f t="shared" si="9"/>
        <v>10.0878</v>
      </c>
      <c r="H582" s="35"/>
      <c r="I582" s="31"/>
      <c r="J582" s="155">
        <v>0</v>
      </c>
    </row>
    <row r="583" spans="1:10" ht="15" hidden="1" thickBot="1" x14ac:dyDescent="0.35">
      <c r="A583" s="229"/>
      <c r="B583" s="224"/>
      <c r="C583" s="36" t="s">
        <v>54</v>
      </c>
      <c r="D583" s="36" t="s">
        <v>12</v>
      </c>
      <c r="E583" s="37">
        <f>ROUND(0.547/0.15,4)</f>
        <v>3.6467000000000001</v>
      </c>
      <c r="F583" s="31">
        <v>16.923500000000001</v>
      </c>
      <c r="G583" s="34">
        <f t="shared" si="9"/>
        <v>61.714927450000005</v>
      </c>
      <c r="H583" s="35"/>
      <c r="I583" s="31"/>
      <c r="J583" s="155">
        <v>0</v>
      </c>
    </row>
    <row r="584" spans="1:10" ht="15" hidden="1" thickBot="1" x14ac:dyDescent="0.35">
      <c r="A584" s="229"/>
      <c r="B584" s="224"/>
      <c r="C584" s="36" t="s">
        <v>23</v>
      </c>
      <c r="D584" s="36" t="s">
        <v>12</v>
      </c>
      <c r="E584" s="37">
        <f>ROUND(0.273/0.15,4)</f>
        <v>1.82</v>
      </c>
      <c r="F584" s="31">
        <v>14.968499999999999</v>
      </c>
      <c r="G584" s="34">
        <f t="shared" si="9"/>
        <v>27.24267</v>
      </c>
      <c r="H584" s="35"/>
      <c r="I584" s="31"/>
      <c r="J584" s="155">
        <v>0</v>
      </c>
    </row>
    <row r="585" spans="1:10" ht="15" hidden="1" thickBot="1" x14ac:dyDescent="0.35">
      <c r="A585" s="229"/>
      <c r="B585" s="224"/>
      <c r="C585" s="36"/>
      <c r="D585" s="36"/>
      <c r="E585" s="37"/>
      <c r="F585" s="31" t="s">
        <v>560</v>
      </c>
      <c r="G585" s="34" t="str">
        <f t="shared" si="9"/>
        <v/>
      </c>
      <c r="H585" s="35"/>
      <c r="I585" s="31"/>
      <c r="J585" s="155">
        <v>0</v>
      </c>
    </row>
    <row r="586" spans="1:10" ht="27" hidden="1" thickBot="1" x14ac:dyDescent="0.35">
      <c r="A586" s="229"/>
      <c r="B586" s="224"/>
      <c r="C586" s="48" t="s">
        <v>231</v>
      </c>
      <c r="D586" s="36"/>
      <c r="E586" s="37"/>
      <c r="F586" s="31" t="s">
        <v>560</v>
      </c>
      <c r="G586" s="34" t="str">
        <f t="shared" si="9"/>
        <v/>
      </c>
      <c r="H586" s="35"/>
      <c r="I586" s="31"/>
      <c r="J586" s="155">
        <v>0</v>
      </c>
    </row>
    <row r="587" spans="1:10" ht="15" hidden="1" thickBot="1" x14ac:dyDescent="0.35">
      <c r="A587" s="230"/>
      <c r="B587" s="225"/>
      <c r="C587" s="36"/>
      <c r="D587" s="36"/>
      <c r="E587" s="37"/>
      <c r="F587" s="31" t="s">
        <v>560</v>
      </c>
      <c r="G587" s="31" t="str">
        <f t="shared" si="9"/>
        <v/>
      </c>
      <c r="H587" s="35"/>
      <c r="I587" s="31"/>
      <c r="J587" s="155">
        <v>0</v>
      </c>
    </row>
    <row r="588" spans="1:10" ht="15" hidden="1" thickBot="1" x14ac:dyDescent="0.35">
      <c r="A588" s="226" t="s">
        <v>232</v>
      </c>
      <c r="B588" s="223" t="e">
        <f>INDEX(#REF!,MATCH(Composições!A588,#REF!,0),2)</f>
        <v>#REF!</v>
      </c>
      <c r="C588" s="41"/>
      <c r="D588" s="26" t="e">
        <f>TRIM(INDEX(#REF!,MATCH(Composições!A588,#REF!,0),1))</f>
        <v>#REF!</v>
      </c>
      <c r="E588" s="27"/>
      <c r="F588" s="42" t="s">
        <v>560</v>
      </c>
      <c r="G588" s="28" t="str">
        <f t="shared" si="9"/>
        <v/>
      </c>
      <c r="H588" s="29"/>
      <c r="I588" s="30"/>
      <c r="J588" s="155">
        <v>0</v>
      </c>
    </row>
    <row r="589" spans="1:10" ht="15" hidden="1" thickBot="1" x14ac:dyDescent="0.35">
      <c r="A589" s="229"/>
      <c r="B589" s="224"/>
      <c r="C589" s="32"/>
      <c r="D589" s="32"/>
      <c r="E589" s="33"/>
      <c r="F589" s="43" t="s">
        <v>560</v>
      </c>
      <c r="G589" s="31" t="str">
        <f t="shared" si="9"/>
        <v/>
      </c>
      <c r="H589" s="35"/>
      <c r="I589" s="31"/>
      <c r="J589" s="155">
        <v>0</v>
      </c>
    </row>
    <row r="590" spans="1:10" ht="15" hidden="1" thickBot="1" x14ac:dyDescent="0.35">
      <c r="A590" s="229"/>
      <c r="B590" s="224"/>
      <c r="C590" s="36" t="s">
        <v>1933</v>
      </c>
      <c r="D590" s="36" t="s">
        <v>42</v>
      </c>
      <c r="E590" s="37">
        <v>8.6199999999999992</v>
      </c>
      <c r="F590" s="34">
        <v>1.1729999999999998</v>
      </c>
      <c r="G590" s="34">
        <f t="shared" si="9"/>
        <v>10.111259999999998</v>
      </c>
      <c r="H590" s="39">
        <f>SUM(G590:G594)</f>
        <v>39.421827</v>
      </c>
      <c r="I590" s="40"/>
      <c r="J590" s="155">
        <v>0</v>
      </c>
    </row>
    <row r="591" spans="1:10" ht="15" hidden="1" thickBot="1" x14ac:dyDescent="0.35">
      <c r="A591" s="229"/>
      <c r="B591" s="224"/>
      <c r="C591" s="36" t="s">
        <v>54</v>
      </c>
      <c r="D591" s="36" t="s">
        <v>12</v>
      </c>
      <c r="E591" s="37">
        <v>1.1879999999999999</v>
      </c>
      <c r="F591" s="31">
        <v>16.923500000000001</v>
      </c>
      <c r="G591" s="34">
        <f t="shared" si="9"/>
        <v>20.105118000000001</v>
      </c>
      <c r="H591" s="35"/>
      <c r="I591" s="31"/>
      <c r="J591" s="155">
        <v>0</v>
      </c>
    </row>
    <row r="592" spans="1:10" ht="15" hidden="1" thickBot="1" x14ac:dyDescent="0.35">
      <c r="A592" s="229"/>
      <c r="B592" s="224"/>
      <c r="C592" s="36" t="s">
        <v>23</v>
      </c>
      <c r="D592" s="36" t="s">
        <v>12</v>
      </c>
      <c r="E592" s="37">
        <v>0.59399999999999997</v>
      </c>
      <c r="F592" s="31">
        <v>14.968499999999999</v>
      </c>
      <c r="G592" s="34">
        <f t="shared" si="9"/>
        <v>8.8912889999999987</v>
      </c>
      <c r="H592" s="35"/>
      <c r="I592" s="31"/>
      <c r="J592" s="155">
        <v>0</v>
      </c>
    </row>
    <row r="593" spans="1:10" ht="15" hidden="1" thickBot="1" x14ac:dyDescent="0.35">
      <c r="A593" s="229"/>
      <c r="B593" s="224"/>
      <c r="C593" s="36" t="s">
        <v>1932</v>
      </c>
      <c r="D593" s="36" t="s">
        <v>42</v>
      </c>
      <c r="E593" s="37">
        <v>0.14000000000000001</v>
      </c>
      <c r="F593" s="34">
        <v>2.2440000000000002</v>
      </c>
      <c r="G593" s="34">
        <f t="shared" si="9"/>
        <v>0.31416000000000005</v>
      </c>
      <c r="H593" s="35"/>
      <c r="I593" s="31"/>
      <c r="J593" s="155">
        <v>0</v>
      </c>
    </row>
    <row r="594" spans="1:10" ht="15" hidden="1" thickBot="1" x14ac:dyDescent="0.35">
      <c r="A594" s="229"/>
      <c r="B594" s="224"/>
      <c r="C594" s="36" t="s">
        <v>233</v>
      </c>
      <c r="D594" s="36" t="s">
        <v>95</v>
      </c>
      <c r="E594" s="37">
        <v>1.1599999999999999</v>
      </c>
      <c r="F594" s="34" t="s">
        <v>560</v>
      </c>
      <c r="G594" s="54" t="str">
        <f t="shared" ref="G594:G657" si="10">IF(ISNUMBER(F594),E594*F594,"")</f>
        <v/>
      </c>
      <c r="H594" s="35"/>
      <c r="I594" s="31"/>
      <c r="J594" s="155">
        <v>0</v>
      </c>
    </row>
    <row r="595" spans="1:10" ht="15" hidden="1" thickBot="1" x14ac:dyDescent="0.35">
      <c r="A595" s="230"/>
      <c r="B595" s="225"/>
      <c r="C595" s="36"/>
      <c r="D595" s="36"/>
      <c r="E595" s="37"/>
      <c r="F595" s="31" t="s">
        <v>560</v>
      </c>
      <c r="G595" s="31" t="str">
        <f t="shared" si="10"/>
        <v/>
      </c>
      <c r="H595" s="35"/>
      <c r="I595" s="31"/>
      <c r="J595" s="155">
        <v>0</v>
      </c>
    </row>
    <row r="596" spans="1:10" ht="15" hidden="1" thickBot="1" x14ac:dyDescent="0.35">
      <c r="A596" s="226" t="s">
        <v>234</v>
      </c>
      <c r="B596" s="223" t="e">
        <f>INDEX(#REF!,MATCH(Composições!A596,#REF!,0),2)</f>
        <v>#REF!</v>
      </c>
      <c r="C596" s="41"/>
      <c r="D596" s="26" t="e">
        <f>TRIM(INDEX(#REF!,MATCH(Composições!A596,#REF!,0),1))</f>
        <v>#REF!</v>
      </c>
      <c r="E596" s="27"/>
      <c r="F596" s="42" t="s">
        <v>560</v>
      </c>
      <c r="G596" s="28" t="str">
        <f t="shared" si="10"/>
        <v/>
      </c>
      <c r="H596" s="29"/>
      <c r="I596" s="30"/>
      <c r="J596" s="155">
        <v>0</v>
      </c>
    </row>
    <row r="597" spans="1:10" ht="15" hidden="1" thickBot="1" x14ac:dyDescent="0.35">
      <c r="A597" s="229"/>
      <c r="B597" s="224"/>
      <c r="C597" s="32"/>
      <c r="D597" s="32"/>
      <c r="E597" s="33"/>
      <c r="F597" s="43" t="s">
        <v>560</v>
      </c>
      <c r="G597" s="31" t="str">
        <f t="shared" si="10"/>
        <v/>
      </c>
      <c r="H597" s="35"/>
      <c r="I597" s="31"/>
      <c r="J597" s="155">
        <v>0</v>
      </c>
    </row>
    <row r="598" spans="1:10" ht="27" hidden="1" thickBot="1" x14ac:dyDescent="0.35">
      <c r="A598" s="229"/>
      <c r="B598" s="224"/>
      <c r="C598" s="36" t="s">
        <v>235</v>
      </c>
      <c r="D598" s="36" t="s">
        <v>93</v>
      </c>
      <c r="E598" s="37">
        <f>ROUND(1.04/0.07,2)</f>
        <v>14.86</v>
      </c>
      <c r="F598" s="34" t="s">
        <v>560</v>
      </c>
      <c r="G598" s="34" t="str">
        <f t="shared" si="10"/>
        <v/>
      </c>
      <c r="H598" s="39">
        <f>SUM(G598:G602)</f>
        <v>85.851036999999991</v>
      </c>
      <c r="I598" s="40"/>
      <c r="J598" s="155">
        <v>0</v>
      </c>
    </row>
    <row r="599" spans="1:10" ht="15" hidden="1" thickBot="1" x14ac:dyDescent="0.35">
      <c r="A599" s="229"/>
      <c r="B599" s="224"/>
      <c r="C599" s="36" t="s">
        <v>1933</v>
      </c>
      <c r="D599" s="36" t="s">
        <v>42</v>
      </c>
      <c r="E599" s="37">
        <f>ROUND(0.8614/0.1,4)</f>
        <v>8.6140000000000008</v>
      </c>
      <c r="F599" s="34">
        <v>1.1729999999999998</v>
      </c>
      <c r="G599" s="34">
        <f t="shared" si="10"/>
        <v>10.104222</v>
      </c>
      <c r="H599" s="35"/>
      <c r="I599" s="31"/>
      <c r="J599" s="155">
        <v>0</v>
      </c>
    </row>
    <row r="600" spans="1:10" ht="15" hidden="1" thickBot="1" x14ac:dyDescent="0.35">
      <c r="A600" s="229"/>
      <c r="B600" s="224"/>
      <c r="C600" s="36" t="s">
        <v>54</v>
      </c>
      <c r="D600" s="36" t="s">
        <v>12</v>
      </c>
      <c r="E600" s="37">
        <f>0.299/0.1</f>
        <v>2.9899999999999998</v>
      </c>
      <c r="F600" s="31">
        <v>16.923500000000001</v>
      </c>
      <c r="G600" s="34">
        <f t="shared" si="10"/>
        <v>50.601264999999998</v>
      </c>
      <c r="H600" s="35"/>
      <c r="I600" s="31"/>
      <c r="J600" s="155">
        <v>0</v>
      </c>
    </row>
    <row r="601" spans="1:10" ht="15" hidden="1" thickBot="1" x14ac:dyDescent="0.35">
      <c r="A601" s="229"/>
      <c r="B601" s="224"/>
      <c r="C601" s="36" t="s">
        <v>23</v>
      </c>
      <c r="D601" s="36" t="s">
        <v>12</v>
      </c>
      <c r="E601" s="37">
        <f>0.15/0.1</f>
        <v>1.4999999999999998</v>
      </c>
      <c r="F601" s="31">
        <v>14.968499999999999</v>
      </c>
      <c r="G601" s="34">
        <f t="shared" si="10"/>
        <v>22.452749999999995</v>
      </c>
      <c r="H601" s="35"/>
      <c r="I601" s="31"/>
      <c r="J601" s="155">
        <v>0</v>
      </c>
    </row>
    <row r="602" spans="1:10" ht="15" hidden="1" thickBot="1" x14ac:dyDescent="0.35">
      <c r="A602" s="229"/>
      <c r="B602" s="224"/>
      <c r="C602" s="36" t="s">
        <v>1932</v>
      </c>
      <c r="D602" s="36" t="s">
        <v>42</v>
      </c>
      <c r="E602" s="37">
        <f>0.12/0.1</f>
        <v>1.2</v>
      </c>
      <c r="F602" s="34">
        <v>2.2440000000000002</v>
      </c>
      <c r="G602" s="34">
        <f t="shared" si="10"/>
        <v>2.6928000000000001</v>
      </c>
      <c r="H602" s="35"/>
      <c r="I602" s="31"/>
      <c r="J602" s="155">
        <v>0</v>
      </c>
    </row>
    <row r="603" spans="1:10" ht="15" hidden="1" thickBot="1" x14ac:dyDescent="0.35">
      <c r="A603" s="229"/>
      <c r="B603" s="224"/>
      <c r="C603" s="36"/>
      <c r="D603" s="36"/>
      <c r="E603" s="37"/>
      <c r="F603" s="34" t="s">
        <v>560</v>
      </c>
      <c r="G603" s="34" t="str">
        <f t="shared" si="10"/>
        <v/>
      </c>
      <c r="H603" s="35"/>
      <c r="I603" s="31"/>
      <c r="J603" s="155">
        <v>0</v>
      </c>
    </row>
    <row r="604" spans="1:10" ht="27" hidden="1" thickBot="1" x14ac:dyDescent="0.35">
      <c r="A604" s="229"/>
      <c r="B604" s="224"/>
      <c r="C604" s="48" t="s">
        <v>228</v>
      </c>
      <c r="D604" s="36"/>
      <c r="E604" s="37"/>
      <c r="F604" s="34" t="s">
        <v>560</v>
      </c>
      <c r="G604" s="34" t="str">
        <f t="shared" si="10"/>
        <v/>
      </c>
      <c r="H604" s="35"/>
      <c r="I604" s="31"/>
      <c r="J604" s="155">
        <v>0</v>
      </c>
    </row>
    <row r="605" spans="1:10" ht="15" hidden="1" thickBot="1" x14ac:dyDescent="0.35">
      <c r="A605" s="230"/>
      <c r="B605" s="225"/>
      <c r="C605" s="36"/>
      <c r="D605" s="36"/>
      <c r="E605" s="37"/>
      <c r="F605" s="31" t="s">
        <v>560</v>
      </c>
      <c r="G605" s="31" t="str">
        <f t="shared" si="10"/>
        <v/>
      </c>
      <c r="H605" s="35"/>
      <c r="I605" s="31"/>
      <c r="J605" s="155">
        <v>0</v>
      </c>
    </row>
    <row r="606" spans="1:10" ht="15" hidden="1" thickBot="1" x14ac:dyDescent="0.35">
      <c r="A606" s="226" t="s">
        <v>236</v>
      </c>
      <c r="B606" s="223" t="e">
        <f>INDEX(#REF!,MATCH(Composições!A606,#REF!,0),2)</f>
        <v>#REF!</v>
      </c>
      <c r="C606" s="41"/>
      <c r="D606" s="26" t="e">
        <f>TRIM(INDEX(#REF!,MATCH(Composições!A606,#REF!,0),1))</f>
        <v>#REF!</v>
      </c>
      <c r="E606" s="27"/>
      <c r="F606" s="42" t="s">
        <v>560</v>
      </c>
      <c r="G606" s="28" t="str">
        <f t="shared" si="10"/>
        <v/>
      </c>
      <c r="H606" s="29"/>
      <c r="I606" s="30"/>
      <c r="J606" s="155">
        <v>0</v>
      </c>
    </row>
    <row r="607" spans="1:10" ht="15" hidden="1" thickBot="1" x14ac:dyDescent="0.35">
      <c r="A607" s="229"/>
      <c r="B607" s="224"/>
      <c r="C607" s="32"/>
      <c r="D607" s="32"/>
      <c r="E607" s="33"/>
      <c r="F607" s="43" t="s">
        <v>560</v>
      </c>
      <c r="G607" s="31" t="str">
        <f t="shared" si="10"/>
        <v/>
      </c>
      <c r="H607" s="35"/>
      <c r="I607" s="31"/>
      <c r="J607" s="155">
        <v>0</v>
      </c>
    </row>
    <row r="608" spans="1:10" ht="27" hidden="1" thickBot="1" x14ac:dyDescent="0.35">
      <c r="A608" s="229"/>
      <c r="B608" s="224"/>
      <c r="C608" s="36" t="s">
        <v>237</v>
      </c>
      <c r="D608" s="36" t="s">
        <v>93</v>
      </c>
      <c r="E608" s="37">
        <f>ROUND(1/0.15,4)</f>
        <v>6.6666999999999996</v>
      </c>
      <c r="F608" s="34" t="s">
        <v>560</v>
      </c>
      <c r="G608" s="34" t="str">
        <f t="shared" si="10"/>
        <v/>
      </c>
      <c r="H608" s="39">
        <f>SUM(G608:G611)</f>
        <v>99.04539745000001</v>
      </c>
      <c r="I608" s="40"/>
      <c r="J608" s="155">
        <v>0</v>
      </c>
    </row>
    <row r="609" spans="1:10" ht="15" hidden="1" thickBot="1" x14ac:dyDescent="0.35">
      <c r="A609" s="229"/>
      <c r="B609" s="224"/>
      <c r="C609" s="36" t="s">
        <v>1933</v>
      </c>
      <c r="D609" s="36" t="s">
        <v>42</v>
      </c>
      <c r="E609" s="37">
        <f>ROUND(1.29/0.15,4)</f>
        <v>8.6</v>
      </c>
      <c r="F609" s="34">
        <v>1.1729999999999998</v>
      </c>
      <c r="G609" s="34">
        <f t="shared" si="10"/>
        <v>10.087799999999998</v>
      </c>
      <c r="H609" s="35"/>
      <c r="I609" s="31"/>
      <c r="J609" s="155">
        <v>0</v>
      </c>
    </row>
    <row r="610" spans="1:10" ht="15" hidden="1" thickBot="1" x14ac:dyDescent="0.35">
      <c r="A610" s="229"/>
      <c r="B610" s="224"/>
      <c r="C610" s="36" t="s">
        <v>54</v>
      </c>
      <c r="D610" s="36" t="s">
        <v>12</v>
      </c>
      <c r="E610" s="37">
        <f>ROUND(0.547/0.15,4)</f>
        <v>3.6467000000000001</v>
      </c>
      <c r="F610" s="31">
        <v>16.923500000000001</v>
      </c>
      <c r="G610" s="34">
        <f t="shared" si="10"/>
        <v>61.714927450000005</v>
      </c>
      <c r="H610" s="35"/>
      <c r="I610" s="31"/>
      <c r="J610" s="155">
        <v>0</v>
      </c>
    </row>
    <row r="611" spans="1:10" ht="15" hidden="1" thickBot="1" x14ac:dyDescent="0.35">
      <c r="A611" s="229"/>
      <c r="B611" s="224"/>
      <c r="C611" s="36" t="s">
        <v>23</v>
      </c>
      <c r="D611" s="36" t="s">
        <v>12</v>
      </c>
      <c r="E611" s="37">
        <f>ROUND(0.273/0.15,4)</f>
        <v>1.82</v>
      </c>
      <c r="F611" s="31">
        <v>14.968499999999999</v>
      </c>
      <c r="G611" s="34">
        <f t="shared" si="10"/>
        <v>27.24267</v>
      </c>
      <c r="H611" s="35"/>
      <c r="I611" s="31"/>
      <c r="J611" s="155">
        <v>0</v>
      </c>
    </row>
    <row r="612" spans="1:10" ht="15" hidden="1" thickBot="1" x14ac:dyDescent="0.35">
      <c r="A612" s="229"/>
      <c r="B612" s="224"/>
      <c r="C612" s="36"/>
      <c r="D612" s="36"/>
      <c r="E612" s="37"/>
      <c r="F612" s="31" t="s">
        <v>560</v>
      </c>
      <c r="G612" s="34" t="str">
        <f t="shared" si="10"/>
        <v/>
      </c>
      <c r="H612" s="35"/>
      <c r="I612" s="31"/>
      <c r="J612" s="155">
        <v>0</v>
      </c>
    </row>
    <row r="613" spans="1:10" ht="27" hidden="1" thickBot="1" x14ac:dyDescent="0.35">
      <c r="A613" s="229"/>
      <c r="B613" s="224"/>
      <c r="C613" s="48" t="s">
        <v>231</v>
      </c>
      <c r="D613" s="36"/>
      <c r="E613" s="37"/>
      <c r="F613" s="31" t="s">
        <v>560</v>
      </c>
      <c r="G613" s="34" t="str">
        <f t="shared" si="10"/>
        <v/>
      </c>
      <c r="H613" s="35"/>
      <c r="I613" s="31"/>
      <c r="J613" s="155">
        <v>0</v>
      </c>
    </row>
    <row r="614" spans="1:10" ht="15" hidden="1" thickBot="1" x14ac:dyDescent="0.35">
      <c r="A614" s="230"/>
      <c r="B614" s="225"/>
      <c r="C614" s="36"/>
      <c r="D614" s="36"/>
      <c r="E614" s="37"/>
      <c r="F614" s="31" t="s">
        <v>560</v>
      </c>
      <c r="G614" s="31" t="str">
        <f t="shared" si="10"/>
        <v/>
      </c>
      <c r="H614" s="35"/>
      <c r="I614" s="31"/>
      <c r="J614" s="155">
        <v>0</v>
      </c>
    </row>
    <row r="615" spans="1:10" ht="15" hidden="1" thickBot="1" x14ac:dyDescent="0.35">
      <c r="A615" s="226" t="s">
        <v>238</v>
      </c>
      <c r="B615" s="223" t="e">
        <f>INDEX(#REF!,MATCH(Composições!A615,#REF!,0),2)</f>
        <v>#REF!</v>
      </c>
      <c r="C615" s="41"/>
      <c r="D615" s="26" t="e">
        <f>TRIM(INDEX(#REF!,MATCH(Composições!A615,#REF!,0),1))</f>
        <v>#REF!</v>
      </c>
      <c r="E615" s="27"/>
      <c r="F615" s="42" t="s">
        <v>560</v>
      </c>
      <c r="G615" s="28" t="str">
        <f t="shared" si="10"/>
        <v/>
      </c>
      <c r="H615" s="29"/>
      <c r="I615" s="30"/>
      <c r="J615" s="155">
        <v>0</v>
      </c>
    </row>
    <row r="616" spans="1:10" ht="15" hidden="1" thickBot="1" x14ac:dyDescent="0.35">
      <c r="A616" s="229"/>
      <c r="B616" s="224"/>
      <c r="C616" s="32"/>
      <c r="D616" s="32"/>
      <c r="E616" s="33"/>
      <c r="F616" s="43" t="s">
        <v>560</v>
      </c>
      <c r="G616" s="31" t="str">
        <f t="shared" si="10"/>
        <v/>
      </c>
      <c r="H616" s="35"/>
      <c r="I616" s="31"/>
      <c r="J616" s="155">
        <v>0</v>
      </c>
    </row>
    <row r="617" spans="1:10" ht="15" hidden="1" thickBot="1" x14ac:dyDescent="0.35">
      <c r="A617" s="229"/>
      <c r="B617" s="224"/>
      <c r="C617" s="36" t="s">
        <v>1294</v>
      </c>
      <c r="D617" s="47" t="s">
        <v>103</v>
      </c>
      <c r="E617" s="37">
        <v>4.0300000000000002E-2</v>
      </c>
      <c r="F617" s="31">
        <v>15.657000000000002</v>
      </c>
      <c r="G617" s="34">
        <f t="shared" si="10"/>
        <v>0.63097710000000007</v>
      </c>
      <c r="H617" s="39">
        <f>SUM(G617:G619)</f>
        <v>11.449635999999998</v>
      </c>
      <c r="I617" s="40"/>
      <c r="J617" s="155">
        <v>0</v>
      </c>
    </row>
    <row r="618" spans="1:10" ht="15" hidden="1" thickBot="1" x14ac:dyDescent="0.35">
      <c r="A618" s="229"/>
      <c r="B618" s="224"/>
      <c r="C618" s="36" t="s">
        <v>745</v>
      </c>
      <c r="D618" s="47" t="s">
        <v>744</v>
      </c>
      <c r="E618" s="37">
        <v>0.15140000000000001</v>
      </c>
      <c r="F618" s="34">
        <v>14.968499999999999</v>
      </c>
      <c r="G618" s="34">
        <f t="shared" si="10"/>
        <v>2.2662309</v>
      </c>
      <c r="H618" s="35"/>
      <c r="I618" s="31"/>
      <c r="J618" s="155">
        <v>0</v>
      </c>
    </row>
    <row r="619" spans="1:10" ht="15" hidden="1" thickBot="1" x14ac:dyDescent="0.35">
      <c r="A619" s="229"/>
      <c r="B619" s="224"/>
      <c r="C619" s="36" t="s">
        <v>1272</v>
      </c>
      <c r="D619" s="47" t="s">
        <v>744</v>
      </c>
      <c r="E619" s="37">
        <v>0.36349999999999999</v>
      </c>
      <c r="F619" s="34">
        <v>23.527999999999999</v>
      </c>
      <c r="G619" s="34">
        <f t="shared" si="10"/>
        <v>8.552427999999999</v>
      </c>
      <c r="H619" s="35"/>
      <c r="I619" s="31"/>
      <c r="J619" s="155">
        <v>0</v>
      </c>
    </row>
    <row r="620" spans="1:10" ht="15" hidden="1" thickBot="1" x14ac:dyDescent="0.35">
      <c r="A620" s="229"/>
      <c r="B620" s="224"/>
      <c r="C620" s="36"/>
      <c r="D620" s="36"/>
      <c r="E620" s="37"/>
      <c r="F620" s="31" t="s">
        <v>560</v>
      </c>
      <c r="G620" s="31" t="str">
        <f t="shared" si="10"/>
        <v/>
      </c>
      <c r="H620" s="35"/>
      <c r="I620" s="31"/>
      <c r="J620" s="155">
        <v>0</v>
      </c>
    </row>
    <row r="621" spans="1:10" ht="15" hidden="1" thickBot="1" x14ac:dyDescent="0.35">
      <c r="A621" s="226" t="s">
        <v>239</v>
      </c>
      <c r="B621" s="223" t="e">
        <f>INDEX(#REF!,MATCH(Composições!A621,#REF!,0),2)</f>
        <v>#REF!</v>
      </c>
      <c r="C621" s="41"/>
      <c r="D621" s="26" t="e">
        <f>TRIM(INDEX(#REF!,MATCH(Composições!A621,#REF!,0),1))</f>
        <v>#REF!</v>
      </c>
      <c r="E621" s="27"/>
      <c r="F621" s="42" t="s">
        <v>560</v>
      </c>
      <c r="G621" s="28" t="str">
        <f t="shared" si="10"/>
        <v/>
      </c>
      <c r="H621" s="29"/>
      <c r="I621" s="30"/>
      <c r="J621" s="155">
        <v>0</v>
      </c>
    </row>
    <row r="622" spans="1:10" ht="15" hidden="1" thickBot="1" x14ac:dyDescent="0.35">
      <c r="A622" s="229"/>
      <c r="B622" s="224"/>
      <c r="C622" s="32"/>
      <c r="D622" s="32"/>
      <c r="E622" s="33"/>
      <c r="F622" s="43" t="s">
        <v>560</v>
      </c>
      <c r="G622" s="31" t="str">
        <f t="shared" si="10"/>
        <v/>
      </c>
      <c r="H622" s="35"/>
      <c r="I622" s="31"/>
      <c r="J622" s="155">
        <v>0</v>
      </c>
    </row>
    <row r="623" spans="1:10" ht="15" hidden="1" thickBot="1" x14ac:dyDescent="0.35">
      <c r="A623" s="229"/>
      <c r="B623" s="224"/>
      <c r="C623" s="36" t="s">
        <v>1933</v>
      </c>
      <c r="D623" s="36" t="s">
        <v>42</v>
      </c>
      <c r="E623" s="37">
        <v>8.6199999999999992</v>
      </c>
      <c r="F623" s="34">
        <v>1.1729999999999998</v>
      </c>
      <c r="G623" s="34">
        <f t="shared" si="10"/>
        <v>10.111259999999998</v>
      </c>
      <c r="H623" s="39">
        <f>SUM(G623:G627)</f>
        <v>39.421827</v>
      </c>
      <c r="I623" s="40"/>
      <c r="J623" s="155">
        <v>0</v>
      </c>
    </row>
    <row r="624" spans="1:10" ht="15" hidden="1" thickBot="1" x14ac:dyDescent="0.35">
      <c r="A624" s="229"/>
      <c r="B624" s="224"/>
      <c r="C624" s="36" t="s">
        <v>54</v>
      </c>
      <c r="D624" s="36" t="s">
        <v>12</v>
      </c>
      <c r="E624" s="37">
        <v>1.1879999999999999</v>
      </c>
      <c r="F624" s="31">
        <v>16.923500000000001</v>
      </c>
      <c r="G624" s="34">
        <f t="shared" si="10"/>
        <v>20.105118000000001</v>
      </c>
      <c r="H624" s="35"/>
      <c r="I624" s="31"/>
      <c r="J624" s="155">
        <v>0</v>
      </c>
    </row>
    <row r="625" spans="1:10" ht="15" hidden="1" thickBot="1" x14ac:dyDescent="0.35">
      <c r="A625" s="229"/>
      <c r="B625" s="224"/>
      <c r="C625" s="36" t="s">
        <v>23</v>
      </c>
      <c r="D625" s="36" t="s">
        <v>12</v>
      </c>
      <c r="E625" s="37">
        <v>0.59399999999999997</v>
      </c>
      <c r="F625" s="31">
        <v>14.968499999999999</v>
      </c>
      <c r="G625" s="34">
        <f t="shared" si="10"/>
        <v>8.8912889999999987</v>
      </c>
      <c r="H625" s="35"/>
      <c r="I625" s="31"/>
      <c r="J625" s="155">
        <v>0</v>
      </c>
    </row>
    <row r="626" spans="1:10" ht="15" hidden="1" thickBot="1" x14ac:dyDescent="0.35">
      <c r="A626" s="229"/>
      <c r="B626" s="224"/>
      <c r="C626" s="36" t="s">
        <v>1932</v>
      </c>
      <c r="D626" s="36" t="s">
        <v>42</v>
      </c>
      <c r="E626" s="37">
        <v>0.14000000000000001</v>
      </c>
      <c r="F626" s="34">
        <v>2.2440000000000002</v>
      </c>
      <c r="G626" s="34">
        <f t="shared" si="10"/>
        <v>0.31416000000000005</v>
      </c>
      <c r="H626" s="35"/>
      <c r="I626" s="31"/>
      <c r="J626" s="155">
        <v>0</v>
      </c>
    </row>
    <row r="627" spans="1:10" ht="15" hidden="1" thickBot="1" x14ac:dyDescent="0.35">
      <c r="A627" s="229"/>
      <c r="B627" s="224"/>
      <c r="C627" s="36" t="s">
        <v>240</v>
      </c>
      <c r="D627" s="36" t="s">
        <v>95</v>
      </c>
      <c r="E627" s="37">
        <v>1.1599999999999999</v>
      </c>
      <c r="F627" s="34" t="s">
        <v>560</v>
      </c>
      <c r="G627" s="54" t="str">
        <f t="shared" si="10"/>
        <v/>
      </c>
      <c r="H627" s="35"/>
      <c r="I627" s="31"/>
      <c r="J627" s="155">
        <v>0</v>
      </c>
    </row>
    <row r="628" spans="1:10" ht="15" hidden="1" thickBot="1" x14ac:dyDescent="0.35">
      <c r="A628" s="230"/>
      <c r="B628" s="225"/>
      <c r="C628" s="36"/>
      <c r="D628" s="36"/>
      <c r="E628" s="37"/>
      <c r="F628" s="31" t="s">
        <v>560</v>
      </c>
      <c r="G628" s="31" t="str">
        <f t="shared" si="10"/>
        <v/>
      </c>
      <c r="H628" s="35"/>
      <c r="I628" s="31"/>
      <c r="J628" s="155">
        <v>0</v>
      </c>
    </row>
    <row r="629" spans="1:10" ht="15" hidden="1" thickBot="1" x14ac:dyDescent="0.35">
      <c r="A629" s="226" t="s">
        <v>241</v>
      </c>
      <c r="B629" s="223" t="e">
        <f>INDEX(#REF!,MATCH(Composições!A629,#REF!,0),2)</f>
        <v>#REF!</v>
      </c>
      <c r="C629" s="41"/>
      <c r="D629" s="26" t="e">
        <f>TRIM(INDEX(#REF!,MATCH(Composições!A629,#REF!,0),1))</f>
        <v>#REF!</v>
      </c>
      <c r="E629" s="27"/>
      <c r="F629" s="42" t="s">
        <v>560</v>
      </c>
      <c r="G629" s="28" t="str">
        <f t="shared" si="10"/>
        <v/>
      </c>
      <c r="H629" s="29"/>
      <c r="I629" s="30"/>
      <c r="J629" s="155">
        <v>0</v>
      </c>
    </row>
    <row r="630" spans="1:10" ht="15" hidden="1" thickBot="1" x14ac:dyDescent="0.35">
      <c r="A630" s="229"/>
      <c r="B630" s="224"/>
      <c r="C630" s="32"/>
      <c r="D630" s="32"/>
      <c r="E630" s="33"/>
      <c r="F630" s="43" t="s">
        <v>560</v>
      </c>
      <c r="G630" s="31" t="str">
        <f t="shared" si="10"/>
        <v/>
      </c>
      <c r="H630" s="35"/>
      <c r="I630" s="31"/>
      <c r="J630" s="155">
        <v>0</v>
      </c>
    </row>
    <row r="631" spans="1:10" ht="15" hidden="1" thickBot="1" x14ac:dyDescent="0.35">
      <c r="A631" s="229"/>
      <c r="B631" s="224"/>
      <c r="C631" s="36" t="s">
        <v>1933</v>
      </c>
      <c r="D631" s="36" t="s">
        <v>42</v>
      </c>
      <c r="E631" s="37">
        <v>8.6199999999999992</v>
      </c>
      <c r="F631" s="34">
        <v>1.1729999999999998</v>
      </c>
      <c r="G631" s="34">
        <f t="shared" si="10"/>
        <v>10.111259999999998</v>
      </c>
      <c r="H631" s="39">
        <f>SUM(G631:G635)</f>
        <v>39.421827</v>
      </c>
      <c r="I631" s="40"/>
      <c r="J631" s="155">
        <v>0</v>
      </c>
    </row>
    <row r="632" spans="1:10" ht="15" hidden="1" thickBot="1" x14ac:dyDescent="0.35">
      <c r="A632" s="229"/>
      <c r="B632" s="224"/>
      <c r="C632" s="36" t="s">
        <v>54</v>
      </c>
      <c r="D632" s="36" t="s">
        <v>12</v>
      </c>
      <c r="E632" s="37">
        <v>1.1879999999999999</v>
      </c>
      <c r="F632" s="31">
        <v>16.923500000000001</v>
      </c>
      <c r="G632" s="34">
        <f t="shared" si="10"/>
        <v>20.105118000000001</v>
      </c>
      <c r="H632" s="35"/>
      <c r="I632" s="31"/>
      <c r="J632" s="155">
        <v>0</v>
      </c>
    </row>
    <row r="633" spans="1:10" ht="15" hidden="1" thickBot="1" x14ac:dyDescent="0.35">
      <c r="A633" s="229"/>
      <c r="B633" s="224"/>
      <c r="C633" s="36" t="s">
        <v>23</v>
      </c>
      <c r="D633" s="36" t="s">
        <v>12</v>
      </c>
      <c r="E633" s="37">
        <v>0.59399999999999997</v>
      </c>
      <c r="F633" s="31">
        <v>14.968499999999999</v>
      </c>
      <c r="G633" s="34">
        <f t="shared" si="10"/>
        <v>8.8912889999999987</v>
      </c>
      <c r="H633" s="35"/>
      <c r="I633" s="31"/>
      <c r="J633" s="155">
        <v>0</v>
      </c>
    </row>
    <row r="634" spans="1:10" ht="15" hidden="1" thickBot="1" x14ac:dyDescent="0.35">
      <c r="A634" s="229"/>
      <c r="B634" s="224"/>
      <c r="C634" s="36" t="s">
        <v>1932</v>
      </c>
      <c r="D634" s="36" t="s">
        <v>42</v>
      </c>
      <c r="E634" s="37">
        <v>0.14000000000000001</v>
      </c>
      <c r="F634" s="34">
        <v>2.2440000000000002</v>
      </c>
      <c r="G634" s="34">
        <f t="shared" si="10"/>
        <v>0.31416000000000005</v>
      </c>
      <c r="H634" s="35"/>
      <c r="I634" s="31"/>
      <c r="J634" s="155">
        <v>0</v>
      </c>
    </row>
    <row r="635" spans="1:10" ht="15" hidden="1" thickBot="1" x14ac:dyDescent="0.35">
      <c r="A635" s="229"/>
      <c r="B635" s="224"/>
      <c r="C635" s="36" t="s">
        <v>242</v>
      </c>
      <c r="D635" s="36" t="s">
        <v>95</v>
      </c>
      <c r="E635" s="37">
        <v>1.1599999999999999</v>
      </c>
      <c r="F635" s="34" t="s">
        <v>560</v>
      </c>
      <c r="G635" s="54" t="str">
        <f t="shared" si="10"/>
        <v/>
      </c>
      <c r="H635" s="35"/>
      <c r="I635" s="31"/>
      <c r="J635" s="155">
        <v>0</v>
      </c>
    </row>
    <row r="636" spans="1:10" ht="15" hidden="1" thickBot="1" x14ac:dyDescent="0.35">
      <c r="A636" s="230"/>
      <c r="B636" s="225"/>
      <c r="C636" s="36"/>
      <c r="D636" s="36"/>
      <c r="E636" s="37"/>
      <c r="F636" s="31" t="s">
        <v>560</v>
      </c>
      <c r="G636" s="31" t="str">
        <f t="shared" si="10"/>
        <v/>
      </c>
      <c r="H636" s="35"/>
      <c r="I636" s="31"/>
      <c r="J636" s="155">
        <v>0</v>
      </c>
    </row>
    <row r="637" spans="1:10" ht="15" hidden="1" thickBot="1" x14ac:dyDescent="0.35">
      <c r="A637" s="226" t="s">
        <v>243</v>
      </c>
      <c r="B637" s="223" t="e">
        <f>INDEX(#REF!,MATCH(Composições!A637,#REF!,0),2)</f>
        <v>#REF!</v>
      </c>
      <c r="C637" s="41"/>
      <c r="D637" s="26" t="e">
        <f>TRIM(INDEX(#REF!,MATCH(Composições!A637,#REF!,0),1))</f>
        <v>#REF!</v>
      </c>
      <c r="E637" s="27"/>
      <c r="F637" s="42" t="s">
        <v>560</v>
      </c>
      <c r="G637" s="28" t="str">
        <f t="shared" si="10"/>
        <v/>
      </c>
      <c r="H637" s="29"/>
      <c r="I637" s="30"/>
      <c r="J637" s="155">
        <v>0</v>
      </c>
    </row>
    <row r="638" spans="1:10" ht="15" hidden="1" thickBot="1" x14ac:dyDescent="0.35">
      <c r="A638" s="229"/>
      <c r="B638" s="224"/>
      <c r="C638" s="32"/>
      <c r="D638" s="32"/>
      <c r="E638" s="33"/>
      <c r="F638" s="43" t="s">
        <v>560</v>
      </c>
      <c r="G638" s="31" t="str">
        <f t="shared" si="10"/>
        <v/>
      </c>
      <c r="H638" s="35"/>
      <c r="I638" s="31"/>
      <c r="J638" s="155">
        <v>0</v>
      </c>
    </row>
    <row r="639" spans="1:10" ht="27" hidden="1" thickBot="1" x14ac:dyDescent="0.35">
      <c r="A639" s="229"/>
      <c r="B639" s="224"/>
      <c r="C639" s="36" t="s">
        <v>1830</v>
      </c>
      <c r="D639" s="47" t="s">
        <v>515</v>
      </c>
      <c r="E639" s="37">
        <v>1.0349999999999999</v>
      </c>
      <c r="F639" s="31">
        <v>11.798</v>
      </c>
      <c r="G639" s="34">
        <f t="shared" si="10"/>
        <v>12.210929999999999</v>
      </c>
      <c r="H639" s="39">
        <f>SUM(G639:G642)</f>
        <v>23.660565999999999</v>
      </c>
      <c r="I639" s="40"/>
      <c r="J639" s="155">
        <v>0</v>
      </c>
    </row>
    <row r="640" spans="1:10" ht="15" hidden="1" thickBot="1" x14ac:dyDescent="0.35">
      <c r="A640" s="229"/>
      <c r="B640" s="224"/>
      <c r="C640" s="36" t="s">
        <v>1294</v>
      </c>
      <c r="D640" s="47" t="s">
        <v>103</v>
      </c>
      <c r="E640" s="37">
        <v>4.0300000000000002E-2</v>
      </c>
      <c r="F640" s="31">
        <v>15.657000000000002</v>
      </c>
      <c r="G640" s="34">
        <f t="shared" si="10"/>
        <v>0.63097710000000007</v>
      </c>
      <c r="H640" s="35"/>
      <c r="I640" s="31"/>
      <c r="J640" s="155">
        <v>0</v>
      </c>
    </row>
    <row r="641" spans="1:10" ht="15" hidden="1" thickBot="1" x14ac:dyDescent="0.35">
      <c r="A641" s="229"/>
      <c r="B641" s="224"/>
      <c r="C641" s="36" t="s">
        <v>745</v>
      </c>
      <c r="D641" s="47" t="s">
        <v>744</v>
      </c>
      <c r="E641" s="37">
        <v>0.15140000000000001</v>
      </c>
      <c r="F641" s="34">
        <v>14.968499999999999</v>
      </c>
      <c r="G641" s="34">
        <f t="shared" si="10"/>
        <v>2.2662309</v>
      </c>
      <c r="H641" s="35"/>
      <c r="I641" s="31"/>
      <c r="J641" s="155">
        <v>0</v>
      </c>
    </row>
    <row r="642" spans="1:10" ht="15" hidden="1" thickBot="1" x14ac:dyDescent="0.35">
      <c r="A642" s="229"/>
      <c r="B642" s="224"/>
      <c r="C642" s="36" t="s">
        <v>1272</v>
      </c>
      <c r="D642" s="47" t="s">
        <v>744</v>
      </c>
      <c r="E642" s="37">
        <v>0.36349999999999999</v>
      </c>
      <c r="F642" s="34">
        <v>23.527999999999999</v>
      </c>
      <c r="G642" s="34">
        <f t="shared" si="10"/>
        <v>8.552427999999999</v>
      </c>
      <c r="H642" s="35"/>
      <c r="I642" s="31"/>
      <c r="J642" s="155">
        <v>0</v>
      </c>
    </row>
    <row r="643" spans="1:10" ht="15" hidden="1" thickBot="1" x14ac:dyDescent="0.35">
      <c r="A643" s="230"/>
      <c r="B643" s="225"/>
      <c r="C643" s="36"/>
      <c r="D643" s="36"/>
      <c r="E643" s="37"/>
      <c r="F643" s="31" t="s">
        <v>560</v>
      </c>
      <c r="G643" s="31" t="str">
        <f t="shared" si="10"/>
        <v/>
      </c>
      <c r="H643" s="35"/>
      <c r="I643" s="31"/>
      <c r="J643" s="155">
        <v>0</v>
      </c>
    </row>
    <row r="644" spans="1:10" ht="15" hidden="1" thickBot="1" x14ac:dyDescent="0.35">
      <c r="A644" s="226" t="s">
        <v>245</v>
      </c>
      <c r="B644" s="223" t="e">
        <f>INDEX(#REF!,MATCH(Composições!A644,#REF!,0),2)</f>
        <v>#REF!</v>
      </c>
      <c r="C644" s="41"/>
      <c r="D644" s="26" t="e">
        <f>TRIM(INDEX(#REF!,MATCH(Composições!A644,#REF!,0),1))</f>
        <v>#REF!</v>
      </c>
      <c r="E644" s="27"/>
      <c r="F644" s="42" t="s">
        <v>560</v>
      </c>
      <c r="G644" s="28" t="str">
        <f t="shared" si="10"/>
        <v/>
      </c>
      <c r="H644" s="29"/>
      <c r="I644" s="30"/>
      <c r="J644" s="155">
        <v>0</v>
      </c>
    </row>
    <row r="645" spans="1:10" ht="15" hidden="1" thickBot="1" x14ac:dyDescent="0.35">
      <c r="A645" s="229"/>
      <c r="B645" s="224"/>
      <c r="C645" s="32"/>
      <c r="D645" s="32"/>
      <c r="E645" s="33"/>
      <c r="F645" s="43" t="s">
        <v>560</v>
      </c>
      <c r="G645" s="31" t="str">
        <f t="shared" si="10"/>
        <v/>
      </c>
      <c r="H645" s="35"/>
      <c r="I645" s="31"/>
      <c r="J645" s="155">
        <v>0</v>
      </c>
    </row>
    <row r="646" spans="1:10" ht="15" hidden="1" thickBot="1" x14ac:dyDescent="0.35">
      <c r="A646" s="229"/>
      <c r="B646" s="224"/>
      <c r="C646" s="36" t="s">
        <v>54</v>
      </c>
      <c r="D646" s="47" t="s">
        <v>12</v>
      </c>
      <c r="E646" s="37">
        <v>2</v>
      </c>
      <c r="F646" s="31">
        <v>16.923500000000001</v>
      </c>
      <c r="G646" s="34">
        <f t="shared" si="10"/>
        <v>33.847000000000001</v>
      </c>
      <c r="H646" s="39">
        <f>SUM(G646:G646)</f>
        <v>33.847000000000001</v>
      </c>
      <c r="I646" s="40"/>
      <c r="J646" s="155">
        <v>0</v>
      </c>
    </row>
    <row r="647" spans="1:10" ht="15" hidden="1" thickBot="1" x14ac:dyDescent="0.35">
      <c r="A647" s="230"/>
      <c r="B647" s="225"/>
      <c r="C647" s="55"/>
      <c r="D647" s="36"/>
      <c r="E647" s="37"/>
      <c r="F647" s="31" t="s">
        <v>560</v>
      </c>
      <c r="G647" s="31" t="str">
        <f t="shared" si="10"/>
        <v/>
      </c>
      <c r="H647" s="35"/>
      <c r="I647" s="31"/>
      <c r="J647" s="155">
        <v>0</v>
      </c>
    </row>
    <row r="648" spans="1:10" ht="15" hidden="1" thickBot="1" x14ac:dyDescent="0.35">
      <c r="A648" s="226" t="s">
        <v>246</v>
      </c>
      <c r="B648" s="223" t="e">
        <f>INDEX(#REF!,MATCH(Composições!A648,#REF!,0),2)</f>
        <v>#REF!</v>
      </c>
      <c r="C648" s="41"/>
      <c r="D648" s="26" t="e">
        <f>TRIM(INDEX(#REF!,MATCH(Composições!A648,#REF!,0),1))</f>
        <v>#REF!</v>
      </c>
      <c r="E648" s="27"/>
      <c r="F648" s="42" t="s">
        <v>560</v>
      </c>
      <c r="G648" s="28" t="str">
        <f t="shared" si="10"/>
        <v/>
      </c>
      <c r="H648" s="29"/>
      <c r="I648" s="30"/>
      <c r="J648" s="155">
        <v>0</v>
      </c>
    </row>
    <row r="649" spans="1:10" ht="15" hidden="1" thickBot="1" x14ac:dyDescent="0.35">
      <c r="A649" s="229"/>
      <c r="B649" s="224"/>
      <c r="C649" s="32"/>
      <c r="D649" s="32"/>
      <c r="E649" s="33"/>
      <c r="F649" s="43" t="s">
        <v>560</v>
      </c>
      <c r="G649" s="31" t="str">
        <f t="shared" si="10"/>
        <v/>
      </c>
      <c r="H649" s="35"/>
      <c r="I649" s="31"/>
      <c r="J649" s="155">
        <v>0</v>
      </c>
    </row>
    <row r="650" spans="1:10" ht="15" hidden="1" thickBot="1" x14ac:dyDescent="0.35">
      <c r="A650" s="229"/>
      <c r="B650" s="224"/>
      <c r="C650" s="36" t="s">
        <v>54</v>
      </c>
      <c r="D650" s="47" t="s">
        <v>12</v>
      </c>
      <c r="E650" s="37">
        <v>1.75</v>
      </c>
      <c r="F650" s="31">
        <v>16.923500000000001</v>
      </c>
      <c r="G650" s="34">
        <f t="shared" si="10"/>
        <v>29.616125</v>
      </c>
      <c r="H650" s="39">
        <f>SUM(G650:G650)</f>
        <v>29.616125</v>
      </c>
      <c r="I650" s="40"/>
      <c r="J650" s="155">
        <v>0</v>
      </c>
    </row>
    <row r="651" spans="1:10" ht="15" hidden="1" thickBot="1" x14ac:dyDescent="0.35">
      <c r="A651" s="230"/>
      <c r="B651" s="225"/>
      <c r="C651" s="55"/>
      <c r="D651" s="36"/>
      <c r="E651" s="37"/>
      <c r="F651" s="31" t="s">
        <v>560</v>
      </c>
      <c r="G651" s="31" t="str">
        <f t="shared" si="10"/>
        <v/>
      </c>
      <c r="H651" s="35"/>
      <c r="I651" s="31"/>
      <c r="J651" s="155">
        <v>0</v>
      </c>
    </row>
    <row r="652" spans="1:10" ht="15" hidden="1" thickBot="1" x14ac:dyDescent="0.35">
      <c r="A652" s="226" t="s">
        <v>247</v>
      </c>
      <c r="B652" s="223" t="e">
        <f>INDEX(#REF!,MATCH(Composições!A652,#REF!,0),2)</f>
        <v>#REF!</v>
      </c>
      <c r="C652" s="41"/>
      <c r="D652" s="26" t="e">
        <f>TRIM(INDEX(#REF!,MATCH(Composições!A652,#REF!,0),1))</f>
        <v>#REF!</v>
      </c>
      <c r="E652" s="27"/>
      <c r="F652" s="42" t="s">
        <v>560</v>
      </c>
      <c r="G652" s="28" t="str">
        <f t="shared" si="10"/>
        <v/>
      </c>
      <c r="H652" s="29"/>
      <c r="I652" s="30"/>
      <c r="J652" s="155">
        <v>0</v>
      </c>
    </row>
    <row r="653" spans="1:10" ht="15" hidden="1" thickBot="1" x14ac:dyDescent="0.35">
      <c r="A653" s="229"/>
      <c r="B653" s="224"/>
      <c r="C653" s="32"/>
      <c r="D653" s="32"/>
      <c r="E653" s="33"/>
      <c r="F653" s="43" t="s">
        <v>560</v>
      </c>
      <c r="G653" s="31" t="str">
        <f t="shared" si="10"/>
        <v/>
      </c>
      <c r="H653" s="35"/>
      <c r="I653" s="31"/>
      <c r="J653" s="155">
        <v>0</v>
      </c>
    </row>
    <row r="654" spans="1:10" ht="15" hidden="1" thickBot="1" x14ac:dyDescent="0.35">
      <c r="A654" s="229"/>
      <c r="B654" s="224"/>
      <c r="C654" s="36" t="s">
        <v>54</v>
      </c>
      <c r="D654" s="47" t="s">
        <v>12</v>
      </c>
      <c r="E654" s="37">
        <v>1</v>
      </c>
      <c r="F654" s="31">
        <v>16.923500000000001</v>
      </c>
      <c r="G654" s="34">
        <f t="shared" si="10"/>
        <v>16.923500000000001</v>
      </c>
      <c r="H654" s="39">
        <f>SUM(G654:G654)</f>
        <v>16.923500000000001</v>
      </c>
      <c r="I654" s="40"/>
      <c r="J654" s="155">
        <v>0</v>
      </c>
    </row>
    <row r="655" spans="1:10" ht="15" hidden="1" thickBot="1" x14ac:dyDescent="0.35">
      <c r="A655" s="230"/>
      <c r="B655" s="225"/>
      <c r="C655" s="55"/>
      <c r="D655" s="36"/>
      <c r="E655" s="37"/>
      <c r="F655" s="31" t="s">
        <v>560</v>
      </c>
      <c r="G655" s="31" t="str">
        <f t="shared" si="10"/>
        <v/>
      </c>
      <c r="H655" s="35"/>
      <c r="I655" s="31"/>
      <c r="J655" s="155">
        <v>0</v>
      </c>
    </row>
    <row r="656" spans="1:10" ht="15" hidden="1" thickBot="1" x14ac:dyDescent="0.35">
      <c r="A656" s="226" t="s">
        <v>248</v>
      </c>
      <c r="B656" s="223" t="e">
        <f>INDEX(#REF!,MATCH(Composições!A656,#REF!,0),2)</f>
        <v>#REF!</v>
      </c>
      <c r="C656" s="41"/>
      <c r="D656" s="26" t="e">
        <f>TRIM(INDEX(#REF!,MATCH(Composições!A656,#REF!,0),1))</f>
        <v>#REF!</v>
      </c>
      <c r="E656" s="27"/>
      <c r="F656" s="42" t="s">
        <v>560</v>
      </c>
      <c r="G656" s="28" t="str">
        <f t="shared" si="10"/>
        <v/>
      </c>
      <c r="H656" s="29"/>
      <c r="I656" s="30"/>
      <c r="J656" s="155">
        <v>0</v>
      </c>
    </row>
    <row r="657" spans="1:10" ht="15" hidden="1" thickBot="1" x14ac:dyDescent="0.35">
      <c r="A657" s="229"/>
      <c r="B657" s="224"/>
      <c r="C657" s="32"/>
      <c r="D657" s="32"/>
      <c r="E657" s="33"/>
      <c r="F657" s="43" t="s">
        <v>560</v>
      </c>
      <c r="G657" s="31" t="str">
        <f t="shared" si="10"/>
        <v/>
      </c>
      <c r="H657" s="35"/>
      <c r="I657" s="31"/>
      <c r="J657" s="155">
        <v>0</v>
      </c>
    </row>
    <row r="658" spans="1:10" ht="15" hidden="1" thickBot="1" x14ac:dyDescent="0.35">
      <c r="A658" s="229"/>
      <c r="B658" s="224"/>
      <c r="C658" s="36" t="s">
        <v>54</v>
      </c>
      <c r="D658" s="47" t="s">
        <v>12</v>
      </c>
      <c r="E658" s="37">
        <v>1.25</v>
      </c>
      <c r="F658" s="31">
        <v>16.923500000000001</v>
      </c>
      <c r="G658" s="34">
        <f t="shared" ref="G658:G721" si="11">IF(ISNUMBER(F658),E658*F658,"")</f>
        <v>21.154375000000002</v>
      </c>
      <c r="H658" s="39">
        <f>SUM(G658:G658)</f>
        <v>21.154375000000002</v>
      </c>
      <c r="I658" s="40"/>
      <c r="J658" s="155">
        <v>0</v>
      </c>
    </row>
    <row r="659" spans="1:10" ht="15" hidden="1" thickBot="1" x14ac:dyDescent="0.35">
      <c r="A659" s="230"/>
      <c r="B659" s="225"/>
      <c r="C659" s="55"/>
      <c r="D659" s="36"/>
      <c r="E659" s="37"/>
      <c r="F659" s="31" t="s">
        <v>560</v>
      </c>
      <c r="G659" s="31" t="str">
        <f t="shared" si="11"/>
        <v/>
      </c>
      <c r="H659" s="35"/>
      <c r="I659" s="31"/>
      <c r="J659" s="155">
        <v>0</v>
      </c>
    </row>
    <row r="660" spans="1:10" ht="15" hidden="1" thickBot="1" x14ac:dyDescent="0.35">
      <c r="A660" s="226" t="s">
        <v>249</v>
      </c>
      <c r="B660" s="223" t="e">
        <f>INDEX(#REF!,MATCH(Composições!A660,#REF!,0),2)</f>
        <v>#REF!</v>
      </c>
      <c r="C660" s="41"/>
      <c r="D660" s="26" t="e">
        <f>TRIM(INDEX(#REF!,MATCH(Composições!A660,#REF!,0),1))</f>
        <v>#REF!</v>
      </c>
      <c r="E660" s="27"/>
      <c r="F660" s="42" t="s">
        <v>560</v>
      </c>
      <c r="G660" s="28" t="str">
        <f t="shared" si="11"/>
        <v/>
      </c>
      <c r="H660" s="29"/>
      <c r="I660" s="30"/>
      <c r="J660" s="155">
        <v>0</v>
      </c>
    </row>
    <row r="661" spans="1:10" ht="15" hidden="1" thickBot="1" x14ac:dyDescent="0.35">
      <c r="A661" s="229"/>
      <c r="B661" s="224"/>
      <c r="C661" s="32"/>
      <c r="D661" s="32"/>
      <c r="E661" s="33"/>
      <c r="F661" s="43" t="s">
        <v>560</v>
      </c>
      <c r="G661" s="31" t="str">
        <f t="shared" si="11"/>
        <v/>
      </c>
      <c r="H661" s="35"/>
      <c r="I661" s="31"/>
      <c r="J661" s="155">
        <v>0</v>
      </c>
    </row>
    <row r="662" spans="1:10" ht="27" hidden="1" thickBot="1" x14ac:dyDescent="0.35">
      <c r="A662" s="229"/>
      <c r="B662" s="224"/>
      <c r="C662" s="36" t="s">
        <v>250</v>
      </c>
      <c r="D662" s="47" t="s">
        <v>20</v>
      </c>
      <c r="E662" s="37">
        <v>1</v>
      </c>
      <c r="F662" s="31">
        <v>78.540000000000006</v>
      </c>
      <c r="G662" s="34">
        <f t="shared" si="11"/>
        <v>78.540000000000006</v>
      </c>
      <c r="H662" s="39">
        <f>SUM(G662:G662)</f>
        <v>78.540000000000006</v>
      </c>
      <c r="I662" s="40"/>
      <c r="J662" s="155">
        <v>0</v>
      </c>
    </row>
    <row r="663" spans="1:10" ht="15" hidden="1" thickBot="1" x14ac:dyDescent="0.35">
      <c r="A663" s="230"/>
      <c r="B663" s="225"/>
      <c r="C663" s="55"/>
      <c r="D663" s="36"/>
      <c r="E663" s="37"/>
      <c r="F663" s="31" t="s">
        <v>560</v>
      </c>
      <c r="G663" s="31" t="str">
        <f t="shared" si="11"/>
        <v/>
      </c>
      <c r="H663" s="35"/>
      <c r="I663" s="31"/>
      <c r="J663" s="155">
        <v>0</v>
      </c>
    </row>
    <row r="664" spans="1:10" ht="15" hidden="1" thickBot="1" x14ac:dyDescent="0.35">
      <c r="A664" s="226" t="s">
        <v>251</v>
      </c>
      <c r="B664" s="223" t="e">
        <f>INDEX(#REF!,MATCH(Composições!A664,#REF!,0),2)</f>
        <v>#REF!</v>
      </c>
      <c r="C664" s="134"/>
      <c r="D664" s="26" t="e">
        <f>TRIM(INDEX(#REF!,MATCH(Composições!A664,#REF!,0),1))</f>
        <v>#REF!</v>
      </c>
      <c r="E664" s="27"/>
      <c r="F664" s="42" t="s">
        <v>560</v>
      </c>
      <c r="G664" s="28" t="str">
        <f t="shared" si="11"/>
        <v/>
      </c>
      <c r="H664" s="29"/>
      <c r="I664" s="30"/>
      <c r="J664" s="155">
        <v>0</v>
      </c>
    </row>
    <row r="665" spans="1:10" ht="15" hidden="1" thickBot="1" x14ac:dyDescent="0.35">
      <c r="A665" s="229"/>
      <c r="B665" s="224"/>
      <c r="C665" s="32"/>
      <c r="D665" s="32"/>
      <c r="E665" s="33"/>
      <c r="F665" s="43" t="s">
        <v>560</v>
      </c>
      <c r="G665" s="31" t="str">
        <f t="shared" si="11"/>
        <v/>
      </c>
      <c r="H665" s="35"/>
      <c r="I665" s="31"/>
      <c r="J665" s="155">
        <v>0</v>
      </c>
    </row>
    <row r="666" spans="1:10" ht="27.6" hidden="1" thickBot="1" x14ac:dyDescent="0.35">
      <c r="A666" s="229"/>
      <c r="B666" s="224"/>
      <c r="C666" s="51" t="s">
        <v>252</v>
      </c>
      <c r="D666" s="47" t="s">
        <v>20</v>
      </c>
      <c r="E666" s="37">
        <v>1</v>
      </c>
      <c r="F666" s="31">
        <v>11.780999999999999</v>
      </c>
      <c r="G666" s="34">
        <f t="shared" si="11"/>
        <v>11.780999999999999</v>
      </c>
      <c r="H666" s="39">
        <f>SUM(G666:G666)</f>
        <v>11.780999999999999</v>
      </c>
      <c r="I666" s="40"/>
      <c r="J666" s="155">
        <v>0</v>
      </c>
    </row>
    <row r="667" spans="1:10" ht="15" hidden="1" thickBot="1" x14ac:dyDescent="0.35">
      <c r="A667" s="230"/>
      <c r="B667" s="225"/>
      <c r="C667" s="36"/>
      <c r="D667" s="36"/>
      <c r="E667" s="37"/>
      <c r="F667" s="31" t="s">
        <v>560</v>
      </c>
      <c r="G667" s="31" t="str">
        <f t="shared" si="11"/>
        <v/>
      </c>
      <c r="H667" s="35"/>
      <c r="I667" s="31"/>
      <c r="J667" s="155">
        <v>0</v>
      </c>
    </row>
    <row r="668" spans="1:10" ht="15" hidden="1" thickBot="1" x14ac:dyDescent="0.35">
      <c r="A668" s="226" t="s">
        <v>253</v>
      </c>
      <c r="B668" s="223" t="e">
        <f>INDEX(#REF!,MATCH(Composições!A668,#REF!,0),2)</f>
        <v>#REF!</v>
      </c>
      <c r="C668" s="41"/>
      <c r="D668" s="26" t="e">
        <f>TRIM(INDEX(#REF!,MATCH(Composições!A668,#REF!,0),1))</f>
        <v>#REF!</v>
      </c>
      <c r="E668" s="27"/>
      <c r="F668" s="42" t="s">
        <v>560</v>
      </c>
      <c r="G668" s="28" t="str">
        <f t="shared" si="11"/>
        <v/>
      </c>
      <c r="H668" s="29"/>
      <c r="I668" s="30"/>
      <c r="J668" s="155">
        <v>0</v>
      </c>
    </row>
    <row r="669" spans="1:10" ht="15" hidden="1" thickBot="1" x14ac:dyDescent="0.35">
      <c r="A669" s="229"/>
      <c r="B669" s="224"/>
      <c r="C669" s="32"/>
      <c r="D669" s="32"/>
      <c r="E669" s="33"/>
      <c r="F669" s="43" t="s">
        <v>560</v>
      </c>
      <c r="G669" s="31" t="str">
        <f t="shared" si="11"/>
        <v/>
      </c>
      <c r="H669" s="35"/>
      <c r="I669" s="31"/>
      <c r="J669" s="155">
        <v>0</v>
      </c>
    </row>
    <row r="670" spans="1:10" ht="27" hidden="1" thickBot="1" x14ac:dyDescent="0.35">
      <c r="A670" s="229"/>
      <c r="B670" s="224"/>
      <c r="C670" s="36" t="s">
        <v>254</v>
      </c>
      <c r="D670" s="36" t="s">
        <v>93</v>
      </c>
      <c r="E670" s="37">
        <f>ROUND(1.04/0.15,4)</f>
        <v>6.9333</v>
      </c>
      <c r="F670" s="34" t="s">
        <v>560</v>
      </c>
      <c r="G670" s="34" t="str">
        <f t="shared" si="11"/>
        <v/>
      </c>
      <c r="H670" s="39">
        <f>SUM(G670:G674)</f>
        <v>57.233499650000006</v>
      </c>
      <c r="I670" s="40"/>
      <c r="J670" s="155">
        <v>0</v>
      </c>
    </row>
    <row r="671" spans="1:10" ht="15" hidden="1" thickBot="1" x14ac:dyDescent="0.35">
      <c r="A671" s="229"/>
      <c r="B671" s="224"/>
      <c r="C671" s="36" t="s">
        <v>1933</v>
      </c>
      <c r="D671" s="36" t="s">
        <v>42</v>
      </c>
      <c r="E671" s="37">
        <f>ROUND(0.8614/0.15,4)</f>
        <v>5.7427000000000001</v>
      </c>
      <c r="F671" s="34">
        <v>1.1729999999999998</v>
      </c>
      <c r="G671" s="34">
        <f t="shared" si="11"/>
        <v>6.7361870999999995</v>
      </c>
      <c r="H671" s="35"/>
      <c r="I671" s="31"/>
      <c r="J671" s="155">
        <v>0</v>
      </c>
    </row>
    <row r="672" spans="1:10" ht="15" hidden="1" thickBot="1" x14ac:dyDescent="0.35">
      <c r="A672" s="229"/>
      <c r="B672" s="224"/>
      <c r="C672" s="36" t="s">
        <v>54</v>
      </c>
      <c r="D672" s="36" t="s">
        <v>12</v>
      </c>
      <c r="E672" s="37">
        <f>ROUND(0.299/0.15,4)</f>
        <v>1.9933000000000001</v>
      </c>
      <c r="F672" s="31">
        <v>16.923500000000001</v>
      </c>
      <c r="G672" s="34">
        <f t="shared" si="11"/>
        <v>33.733612550000004</v>
      </c>
      <c r="H672" s="35"/>
      <c r="I672" s="31"/>
      <c r="J672" s="155">
        <v>0</v>
      </c>
    </row>
    <row r="673" spans="1:10" ht="15" hidden="1" thickBot="1" x14ac:dyDescent="0.35">
      <c r="A673" s="229"/>
      <c r="B673" s="224"/>
      <c r="C673" s="36" t="s">
        <v>23</v>
      </c>
      <c r="D673" s="36" t="s">
        <v>12</v>
      </c>
      <c r="E673" s="37">
        <f>0.15/0.15</f>
        <v>1</v>
      </c>
      <c r="F673" s="31">
        <v>14.968499999999999</v>
      </c>
      <c r="G673" s="34">
        <f t="shared" si="11"/>
        <v>14.968499999999999</v>
      </c>
      <c r="H673" s="35"/>
      <c r="I673" s="31"/>
      <c r="J673" s="155">
        <v>0</v>
      </c>
    </row>
    <row r="674" spans="1:10" ht="15" hidden="1" thickBot="1" x14ac:dyDescent="0.35">
      <c r="A674" s="229"/>
      <c r="B674" s="224"/>
      <c r="C674" s="36" t="s">
        <v>1932</v>
      </c>
      <c r="D674" s="36" t="s">
        <v>42</v>
      </c>
      <c r="E674" s="37">
        <f>0.12/0.15</f>
        <v>0.8</v>
      </c>
      <c r="F674" s="34">
        <v>2.2440000000000002</v>
      </c>
      <c r="G674" s="34">
        <f t="shared" si="11"/>
        <v>1.7952000000000004</v>
      </c>
      <c r="H674" s="35"/>
      <c r="I674" s="31"/>
      <c r="J674" s="155">
        <v>0</v>
      </c>
    </row>
    <row r="675" spans="1:10" ht="15" hidden="1" thickBot="1" x14ac:dyDescent="0.35">
      <c r="A675" s="229"/>
      <c r="B675" s="224"/>
      <c r="C675" s="36"/>
      <c r="D675" s="36"/>
      <c r="E675" s="37"/>
      <c r="F675" s="34" t="s">
        <v>560</v>
      </c>
      <c r="G675" s="34" t="str">
        <f t="shared" si="11"/>
        <v/>
      </c>
      <c r="H675" s="35"/>
      <c r="I675" s="31"/>
      <c r="J675" s="155">
        <v>0</v>
      </c>
    </row>
    <row r="676" spans="1:10" ht="15" hidden="1" thickBot="1" x14ac:dyDescent="0.35">
      <c r="A676" s="226" t="s">
        <v>255</v>
      </c>
      <c r="B676" s="223" t="e">
        <f>INDEX(#REF!,MATCH(Composições!A676,#REF!,0),2)</f>
        <v>#REF!</v>
      </c>
      <c r="C676" s="41"/>
      <c r="D676" s="26" t="e">
        <f>TRIM(INDEX(#REF!,MATCH(Composições!A676,#REF!,0),1))</f>
        <v>#REF!</v>
      </c>
      <c r="E676" s="27"/>
      <c r="F676" s="42" t="s">
        <v>560</v>
      </c>
      <c r="G676" s="28" t="str">
        <f t="shared" si="11"/>
        <v/>
      </c>
      <c r="H676" s="29"/>
      <c r="I676" s="30"/>
      <c r="J676" s="155">
        <v>0</v>
      </c>
    </row>
    <row r="677" spans="1:10" ht="15" hidden="1" thickBot="1" x14ac:dyDescent="0.35">
      <c r="A677" s="229"/>
      <c r="B677" s="224"/>
      <c r="C677" s="32"/>
      <c r="D677" s="32"/>
      <c r="E677" s="33"/>
      <c r="F677" s="43" t="s">
        <v>560</v>
      </c>
      <c r="G677" s="31" t="str">
        <f t="shared" si="11"/>
        <v/>
      </c>
      <c r="H677" s="35"/>
      <c r="I677" s="31"/>
      <c r="J677" s="155">
        <v>0</v>
      </c>
    </row>
    <row r="678" spans="1:10" ht="15" hidden="1" thickBot="1" x14ac:dyDescent="0.35">
      <c r="A678" s="229"/>
      <c r="B678" s="224"/>
      <c r="C678" s="36" t="s">
        <v>1812</v>
      </c>
      <c r="D678" s="36" t="s">
        <v>939</v>
      </c>
      <c r="E678" s="37">
        <f>ROUND(0.5228/(1.5*0.6),4)</f>
        <v>0.58089999999999997</v>
      </c>
      <c r="F678" s="54">
        <v>22.074499999999997</v>
      </c>
      <c r="G678" s="54">
        <f t="shared" si="11"/>
        <v>12.823077049999998</v>
      </c>
      <c r="H678" s="39">
        <f>SUM(G678:G684)</f>
        <v>109.80093959999999</v>
      </c>
      <c r="I678" s="40"/>
      <c r="J678" s="155">
        <v>0</v>
      </c>
    </row>
    <row r="679" spans="1:10" ht="40.200000000000003" hidden="1" thickBot="1" x14ac:dyDescent="0.35">
      <c r="A679" s="229"/>
      <c r="B679" s="224"/>
      <c r="C679" s="36" t="s">
        <v>1181</v>
      </c>
      <c r="D679" s="36" t="s">
        <v>292</v>
      </c>
      <c r="E679" s="37">
        <f>ROUND(6/(1.5*0.6),4)</f>
        <v>6.6666999999999996</v>
      </c>
      <c r="F679" s="54">
        <v>0.83299999999999996</v>
      </c>
      <c r="G679" s="54">
        <f t="shared" si="11"/>
        <v>5.5533610999999992</v>
      </c>
      <c r="H679" s="73"/>
      <c r="I679" s="74"/>
      <c r="J679" s="155">
        <v>0</v>
      </c>
    </row>
    <row r="680" spans="1:10" ht="27" hidden="1" thickBot="1" x14ac:dyDescent="0.35">
      <c r="A680" s="229"/>
      <c r="B680" s="224"/>
      <c r="C680" s="36" t="s">
        <v>256</v>
      </c>
      <c r="D680" s="36" t="s">
        <v>1035</v>
      </c>
      <c r="E680" s="37">
        <f>ROUND(1.005/(1.5*0.6),4)</f>
        <v>1.1167</v>
      </c>
      <c r="F680" s="54" t="s">
        <v>560</v>
      </c>
      <c r="G680" s="54" t="str">
        <f t="shared" si="11"/>
        <v/>
      </c>
      <c r="H680" s="73"/>
      <c r="I680" s="74"/>
      <c r="J680" s="155">
        <v>0</v>
      </c>
    </row>
    <row r="681" spans="1:10" ht="15" hidden="1" thickBot="1" x14ac:dyDescent="0.35">
      <c r="A681" s="229"/>
      <c r="B681" s="224"/>
      <c r="C681" s="36" t="s">
        <v>1923</v>
      </c>
      <c r="D681" s="36" t="s">
        <v>939</v>
      </c>
      <c r="E681" s="37">
        <f>ROUND(0.0211/(1.5*0.6),4)</f>
        <v>2.3400000000000001E-2</v>
      </c>
      <c r="F681" s="54">
        <v>47.302499999999995</v>
      </c>
      <c r="G681" s="54">
        <f t="shared" si="11"/>
        <v>1.1068784999999999</v>
      </c>
      <c r="H681" s="73"/>
      <c r="I681" s="74"/>
      <c r="J681" s="155">
        <v>0</v>
      </c>
    </row>
    <row r="682" spans="1:10" ht="27" hidden="1" thickBot="1" x14ac:dyDescent="0.35">
      <c r="A682" s="229"/>
      <c r="B682" s="224"/>
      <c r="C682" s="36" t="s">
        <v>1832</v>
      </c>
      <c r="D682" s="36" t="s">
        <v>292</v>
      </c>
      <c r="E682" s="37">
        <f>ROUND(2/(1.5*0.6),4)</f>
        <v>2.2222</v>
      </c>
      <c r="F682" s="54">
        <v>20.638000000000002</v>
      </c>
      <c r="G682" s="54">
        <f t="shared" si="11"/>
        <v>45.861763600000003</v>
      </c>
      <c r="H682" s="73"/>
      <c r="I682" s="74"/>
      <c r="J682" s="155">
        <v>0</v>
      </c>
    </row>
    <row r="683" spans="1:10" ht="15" hidden="1" thickBot="1" x14ac:dyDescent="0.35">
      <c r="A683" s="229"/>
      <c r="B683" s="224"/>
      <c r="C683" s="36" t="s">
        <v>1696</v>
      </c>
      <c r="D683" s="36" t="s">
        <v>744</v>
      </c>
      <c r="E683" s="37">
        <f>ROUND(1.4944/(1.5*0.6),4)</f>
        <v>1.6604000000000001</v>
      </c>
      <c r="F683" s="54">
        <v>16.923500000000001</v>
      </c>
      <c r="G683" s="54">
        <f t="shared" si="11"/>
        <v>28.099779400000003</v>
      </c>
      <c r="H683" s="73"/>
      <c r="I683" s="74"/>
      <c r="J683" s="155">
        <v>0</v>
      </c>
    </row>
    <row r="684" spans="1:10" ht="15" hidden="1" thickBot="1" x14ac:dyDescent="0.35">
      <c r="A684" s="229"/>
      <c r="B684" s="224"/>
      <c r="C684" s="36" t="s">
        <v>745</v>
      </c>
      <c r="D684" s="36" t="s">
        <v>744</v>
      </c>
      <c r="E684" s="37">
        <f>ROUND(0.9834/(1.5*0.6),4)</f>
        <v>1.0927</v>
      </c>
      <c r="F684" s="54">
        <v>14.968499999999999</v>
      </c>
      <c r="G684" s="54">
        <f t="shared" si="11"/>
        <v>16.356079949999998</v>
      </c>
      <c r="H684" s="73"/>
      <c r="I684" s="74"/>
      <c r="J684" s="155">
        <v>0</v>
      </c>
    </row>
    <row r="685" spans="1:10" ht="15" hidden="1" thickBot="1" x14ac:dyDescent="0.35">
      <c r="A685" s="229"/>
      <c r="B685" s="224"/>
      <c r="C685" s="36"/>
      <c r="D685" s="36"/>
      <c r="E685" s="37"/>
      <c r="F685" s="31" t="s">
        <v>560</v>
      </c>
      <c r="G685" s="34" t="str">
        <f t="shared" si="11"/>
        <v/>
      </c>
      <c r="H685" s="35"/>
      <c r="I685" s="31"/>
      <c r="J685" s="155">
        <v>0</v>
      </c>
    </row>
    <row r="686" spans="1:10" ht="15" hidden="1" thickBot="1" x14ac:dyDescent="0.35">
      <c r="A686" s="226" t="s">
        <v>257</v>
      </c>
      <c r="B686" s="223" t="e">
        <f>INDEX(#REF!,MATCH(Composições!A686,#REF!,0),2)</f>
        <v>#REF!</v>
      </c>
      <c r="C686" s="41"/>
      <c r="D686" s="26" t="e">
        <f>TRIM(INDEX(#REF!,MATCH(Composições!A686,#REF!,0),1))</f>
        <v>#REF!</v>
      </c>
      <c r="E686" s="27"/>
      <c r="F686" s="42" t="s">
        <v>560</v>
      </c>
      <c r="G686" s="28" t="str">
        <f t="shared" si="11"/>
        <v/>
      </c>
      <c r="H686" s="29"/>
      <c r="I686" s="30"/>
      <c r="J686" s="155">
        <v>0</v>
      </c>
    </row>
    <row r="687" spans="1:10" ht="15" hidden="1" thickBot="1" x14ac:dyDescent="0.35">
      <c r="A687" s="229"/>
      <c r="B687" s="224"/>
      <c r="C687" s="32"/>
      <c r="D687" s="32"/>
      <c r="E687" s="33"/>
      <c r="F687" s="43" t="s">
        <v>560</v>
      </c>
      <c r="G687" s="31" t="str">
        <f t="shared" si="11"/>
        <v/>
      </c>
      <c r="H687" s="35"/>
      <c r="I687" s="31"/>
      <c r="J687" s="155">
        <v>0</v>
      </c>
    </row>
    <row r="688" spans="1:10" ht="27" hidden="1" thickBot="1" x14ac:dyDescent="0.35">
      <c r="A688" s="229"/>
      <c r="B688" s="224"/>
      <c r="C688" s="36" t="s">
        <v>817</v>
      </c>
      <c r="D688" s="36" t="s">
        <v>939</v>
      </c>
      <c r="E688" s="37">
        <v>0.53</v>
      </c>
      <c r="F688" s="34">
        <v>36.150500000000001</v>
      </c>
      <c r="G688" s="34">
        <f t="shared" si="11"/>
        <v>19.159765</v>
      </c>
      <c r="H688" s="39">
        <f>SUM(G688:G694)</f>
        <v>77.272938999999994</v>
      </c>
      <c r="I688" s="40"/>
      <c r="J688" s="155">
        <v>0</v>
      </c>
    </row>
    <row r="689" spans="1:10" ht="27" hidden="1" thickBot="1" x14ac:dyDescent="0.35">
      <c r="A689" s="229"/>
      <c r="B689" s="224"/>
      <c r="C689" s="36" t="s">
        <v>2378</v>
      </c>
      <c r="D689" s="36" t="s">
        <v>1035</v>
      </c>
      <c r="E689" s="37">
        <v>1.05</v>
      </c>
      <c r="F689" s="34" t="s">
        <v>560</v>
      </c>
      <c r="G689" s="34" t="str">
        <f t="shared" si="11"/>
        <v/>
      </c>
      <c r="H689" s="35"/>
      <c r="I689" s="31"/>
      <c r="J689" s="155">
        <v>0</v>
      </c>
    </row>
    <row r="690" spans="1:10" ht="15" hidden="1" thickBot="1" x14ac:dyDescent="0.35">
      <c r="A690" s="229"/>
      <c r="B690" s="224"/>
      <c r="C690" s="36" t="s">
        <v>1913</v>
      </c>
      <c r="D690" s="36" t="s">
        <v>939</v>
      </c>
      <c r="E690" s="37">
        <v>0.97</v>
      </c>
      <c r="F690" s="31">
        <v>1.343</v>
      </c>
      <c r="G690" s="34">
        <f t="shared" si="11"/>
        <v>1.30271</v>
      </c>
      <c r="H690" s="35"/>
      <c r="I690" s="31"/>
      <c r="J690" s="155">
        <v>0</v>
      </c>
    </row>
    <row r="691" spans="1:10" ht="15" hidden="1" thickBot="1" x14ac:dyDescent="0.35">
      <c r="A691" s="229"/>
      <c r="B691" s="224"/>
      <c r="C691" s="36" t="s">
        <v>1696</v>
      </c>
      <c r="D691" s="36" t="s">
        <v>744</v>
      </c>
      <c r="E691" s="37">
        <v>1.405</v>
      </c>
      <c r="F691" s="31">
        <v>16.923500000000001</v>
      </c>
      <c r="G691" s="34">
        <f t="shared" si="11"/>
        <v>23.777517500000002</v>
      </c>
      <c r="H691" s="35"/>
      <c r="I691" s="31"/>
      <c r="J691" s="155">
        <v>0</v>
      </c>
    </row>
    <row r="692" spans="1:10" ht="15" hidden="1" thickBot="1" x14ac:dyDescent="0.35">
      <c r="A692" s="229"/>
      <c r="B692" s="224"/>
      <c r="C692" s="36" t="s">
        <v>745</v>
      </c>
      <c r="D692" s="36" t="s">
        <v>744</v>
      </c>
      <c r="E692" s="37">
        <v>0.70199999999999996</v>
      </c>
      <c r="F692" s="31">
        <v>14.968499999999999</v>
      </c>
      <c r="G692" s="34">
        <f t="shared" si="11"/>
        <v>10.507886999999998</v>
      </c>
      <c r="H692" s="35"/>
      <c r="I692" s="31"/>
      <c r="J692" s="155">
        <v>0</v>
      </c>
    </row>
    <row r="693" spans="1:10" ht="27" hidden="1" thickBot="1" x14ac:dyDescent="0.35">
      <c r="A693" s="229"/>
      <c r="B693" s="224"/>
      <c r="C693" s="36" t="s">
        <v>1208</v>
      </c>
      <c r="D693" s="36" t="s">
        <v>983</v>
      </c>
      <c r="E693" s="37">
        <v>8.8999999999999996E-2</v>
      </c>
      <c r="F693" s="31">
        <v>17.807499999999997</v>
      </c>
      <c r="G693" s="34">
        <f t="shared" si="11"/>
        <v>1.5848674999999997</v>
      </c>
      <c r="H693" s="35"/>
      <c r="I693" s="31"/>
      <c r="J693" s="155">
        <v>0</v>
      </c>
    </row>
    <row r="694" spans="1:10" ht="27" hidden="1" thickBot="1" x14ac:dyDescent="0.35">
      <c r="A694" s="229"/>
      <c r="B694" s="224"/>
      <c r="C694" s="36" t="s">
        <v>1209</v>
      </c>
      <c r="D694" s="36" t="s">
        <v>985</v>
      </c>
      <c r="E694" s="37">
        <v>1.3160000000000001</v>
      </c>
      <c r="F694" s="34">
        <v>15.911999999999999</v>
      </c>
      <c r="G694" s="34">
        <f t="shared" si="11"/>
        <v>20.940192</v>
      </c>
      <c r="H694" s="35"/>
      <c r="I694" s="31"/>
      <c r="J694" s="155">
        <v>0</v>
      </c>
    </row>
    <row r="695" spans="1:10" ht="15" hidden="1" thickBot="1" x14ac:dyDescent="0.35">
      <c r="A695" s="229"/>
      <c r="B695" s="224"/>
      <c r="C695" s="36"/>
      <c r="D695" s="36"/>
      <c r="E695" s="37"/>
      <c r="F695" s="34" t="s">
        <v>560</v>
      </c>
      <c r="G695" s="34" t="str">
        <f t="shared" si="11"/>
        <v/>
      </c>
      <c r="H695" s="35"/>
      <c r="I695" s="31"/>
      <c r="J695" s="155">
        <v>0</v>
      </c>
    </row>
    <row r="696" spans="1:10" ht="15" hidden="1" thickBot="1" x14ac:dyDescent="0.35">
      <c r="A696" s="226" t="s">
        <v>259</v>
      </c>
      <c r="B696" s="223" t="e">
        <f>INDEX(#REF!,MATCH(Composições!A696,#REF!,0),2)</f>
        <v>#REF!</v>
      </c>
      <c r="C696" s="41"/>
      <c r="D696" s="26" t="e">
        <f>TRIM(INDEX(#REF!,MATCH(Composições!A696,#REF!,0),1))</f>
        <v>#REF!</v>
      </c>
      <c r="E696" s="27"/>
      <c r="F696" s="42" t="s">
        <v>560</v>
      </c>
      <c r="G696" s="28" t="str">
        <f t="shared" si="11"/>
        <v/>
      </c>
      <c r="H696" s="29"/>
      <c r="I696" s="30"/>
      <c r="J696" s="155">
        <v>0</v>
      </c>
    </row>
    <row r="697" spans="1:10" ht="15" hidden="1" thickBot="1" x14ac:dyDescent="0.35">
      <c r="A697" s="229"/>
      <c r="B697" s="224"/>
      <c r="C697" s="32"/>
      <c r="D697" s="32"/>
      <c r="E697" s="33"/>
      <c r="F697" s="43" t="s">
        <v>560</v>
      </c>
      <c r="G697" s="31" t="str">
        <f t="shared" si="11"/>
        <v/>
      </c>
      <c r="H697" s="35"/>
      <c r="I697" s="31"/>
      <c r="J697" s="155">
        <v>0</v>
      </c>
    </row>
    <row r="698" spans="1:10" ht="27" hidden="1" thickBot="1" x14ac:dyDescent="0.35">
      <c r="A698" s="229"/>
      <c r="B698" s="224"/>
      <c r="C698" s="36" t="s">
        <v>260</v>
      </c>
      <c r="D698" s="36" t="s">
        <v>93</v>
      </c>
      <c r="E698" s="37">
        <f>ROUND(1.04/0.15,4)</f>
        <v>6.9333</v>
      </c>
      <c r="F698" s="34" t="s">
        <v>560</v>
      </c>
      <c r="G698" s="31" t="str">
        <f t="shared" si="11"/>
        <v/>
      </c>
      <c r="H698" s="39">
        <f>SUM(G698:G702)</f>
        <v>57.233499650000006</v>
      </c>
      <c r="I698" s="40"/>
      <c r="J698" s="155">
        <v>0</v>
      </c>
    </row>
    <row r="699" spans="1:10" ht="15" hidden="1" thickBot="1" x14ac:dyDescent="0.35">
      <c r="A699" s="229"/>
      <c r="B699" s="224"/>
      <c r="C699" s="36" t="s">
        <v>1933</v>
      </c>
      <c r="D699" s="36" t="s">
        <v>42</v>
      </c>
      <c r="E699" s="37">
        <f>ROUND(0.8614/0.15,4)</f>
        <v>5.7427000000000001</v>
      </c>
      <c r="F699" s="34">
        <v>1.1729999999999998</v>
      </c>
      <c r="G699" s="34">
        <f t="shared" si="11"/>
        <v>6.7361870999999995</v>
      </c>
      <c r="H699" s="35"/>
      <c r="I699" s="31"/>
      <c r="J699" s="155">
        <v>0</v>
      </c>
    </row>
    <row r="700" spans="1:10" ht="15" hidden="1" thickBot="1" x14ac:dyDescent="0.35">
      <c r="A700" s="229"/>
      <c r="B700" s="224"/>
      <c r="C700" s="36" t="s">
        <v>54</v>
      </c>
      <c r="D700" s="36" t="s">
        <v>12</v>
      </c>
      <c r="E700" s="37">
        <f>ROUND(0.299/0.15,4)</f>
        <v>1.9933000000000001</v>
      </c>
      <c r="F700" s="34">
        <v>16.923500000000001</v>
      </c>
      <c r="G700" s="34">
        <f t="shared" si="11"/>
        <v>33.733612550000004</v>
      </c>
      <c r="H700" s="35"/>
      <c r="I700" s="31"/>
      <c r="J700" s="155">
        <v>0</v>
      </c>
    </row>
    <row r="701" spans="1:10" ht="15" hidden="1" thickBot="1" x14ac:dyDescent="0.35">
      <c r="A701" s="229"/>
      <c r="B701" s="224"/>
      <c r="C701" s="36" t="s">
        <v>23</v>
      </c>
      <c r="D701" s="36" t="s">
        <v>12</v>
      </c>
      <c r="E701" s="37">
        <f>0.15/0.15</f>
        <v>1</v>
      </c>
      <c r="F701" s="34">
        <v>14.968499999999999</v>
      </c>
      <c r="G701" s="34">
        <f t="shared" si="11"/>
        <v>14.968499999999999</v>
      </c>
      <c r="H701" s="35"/>
      <c r="I701" s="31"/>
      <c r="J701" s="155">
        <v>0</v>
      </c>
    </row>
    <row r="702" spans="1:10" ht="15" hidden="1" thickBot="1" x14ac:dyDescent="0.35">
      <c r="A702" s="229"/>
      <c r="B702" s="224"/>
      <c r="C702" s="36" t="s">
        <v>1932</v>
      </c>
      <c r="D702" s="36" t="s">
        <v>42</v>
      </c>
      <c r="E702" s="37">
        <f>0.12/0.15</f>
        <v>0.8</v>
      </c>
      <c r="F702" s="34">
        <v>2.2440000000000002</v>
      </c>
      <c r="G702" s="34">
        <f t="shared" si="11"/>
        <v>1.7952000000000004</v>
      </c>
      <c r="H702" s="35"/>
      <c r="I702" s="31"/>
      <c r="J702" s="155">
        <v>0</v>
      </c>
    </row>
    <row r="703" spans="1:10" ht="15" hidden="1" thickBot="1" x14ac:dyDescent="0.35">
      <c r="A703" s="229"/>
      <c r="B703" s="224"/>
      <c r="C703" s="36"/>
      <c r="D703" s="36"/>
      <c r="E703" s="37"/>
      <c r="F703" s="34" t="s">
        <v>560</v>
      </c>
      <c r="G703" s="34" t="str">
        <f t="shared" si="11"/>
        <v/>
      </c>
      <c r="H703" s="35"/>
      <c r="I703" s="31"/>
      <c r="J703" s="155">
        <v>0</v>
      </c>
    </row>
    <row r="704" spans="1:10" ht="15" hidden="1" thickBot="1" x14ac:dyDescent="0.35">
      <c r="A704" s="226" t="s">
        <v>261</v>
      </c>
      <c r="B704" s="223" t="e">
        <f>INDEX(#REF!,MATCH(Composições!A704,#REF!,0),2)</f>
        <v>#REF!</v>
      </c>
      <c r="C704" s="41"/>
      <c r="D704" s="26" t="e">
        <f>TRIM(INDEX(#REF!,MATCH(Composições!A704,#REF!,0),1))</f>
        <v>#REF!</v>
      </c>
      <c r="E704" s="27"/>
      <c r="F704" s="42" t="s">
        <v>560</v>
      </c>
      <c r="G704" s="28" t="str">
        <f t="shared" si="11"/>
        <v/>
      </c>
      <c r="H704" s="29"/>
      <c r="I704" s="30"/>
      <c r="J704" s="155">
        <v>0</v>
      </c>
    </row>
    <row r="705" spans="1:10" ht="15" hidden="1" thickBot="1" x14ac:dyDescent="0.35">
      <c r="A705" s="229"/>
      <c r="B705" s="224"/>
      <c r="C705" s="32"/>
      <c r="D705" s="32"/>
      <c r="E705" s="33"/>
      <c r="F705" s="43" t="s">
        <v>560</v>
      </c>
      <c r="G705" s="31" t="str">
        <f t="shared" si="11"/>
        <v/>
      </c>
      <c r="H705" s="35"/>
      <c r="I705" s="31"/>
      <c r="J705" s="155">
        <v>0</v>
      </c>
    </row>
    <row r="706" spans="1:10" ht="15" hidden="1" thickBot="1" x14ac:dyDescent="0.35">
      <c r="A706" s="229"/>
      <c r="B706" s="224"/>
      <c r="C706" s="36" t="s">
        <v>1812</v>
      </c>
      <c r="D706" s="36" t="s">
        <v>939</v>
      </c>
      <c r="E706" s="37">
        <f>ROUND(0.5228/(1.5*0.6),4)</f>
        <v>0.58089999999999997</v>
      </c>
      <c r="F706" s="54">
        <v>22.074499999999997</v>
      </c>
      <c r="G706" s="54">
        <f t="shared" si="11"/>
        <v>12.823077049999998</v>
      </c>
      <c r="H706" s="39">
        <f>SUM(G706:G712)</f>
        <v>109.80093959999999</v>
      </c>
      <c r="I706" s="40"/>
      <c r="J706" s="155">
        <v>0</v>
      </c>
    </row>
    <row r="707" spans="1:10" ht="40.200000000000003" hidden="1" thickBot="1" x14ac:dyDescent="0.35">
      <c r="A707" s="229"/>
      <c r="B707" s="224"/>
      <c r="C707" s="36" t="s">
        <v>1181</v>
      </c>
      <c r="D707" s="36" t="s">
        <v>292</v>
      </c>
      <c r="E707" s="37">
        <f>ROUND(6/(1.5*0.6),4)</f>
        <v>6.6666999999999996</v>
      </c>
      <c r="F707" s="54">
        <v>0.83299999999999996</v>
      </c>
      <c r="G707" s="54">
        <f t="shared" si="11"/>
        <v>5.5533610999999992</v>
      </c>
      <c r="H707" s="73"/>
      <c r="I707" s="74"/>
      <c r="J707" s="155">
        <v>0</v>
      </c>
    </row>
    <row r="708" spans="1:10" ht="27" hidden="1" thickBot="1" x14ac:dyDescent="0.35">
      <c r="A708" s="229"/>
      <c r="B708" s="224"/>
      <c r="C708" s="36" t="s">
        <v>262</v>
      </c>
      <c r="D708" s="36" t="s">
        <v>1035</v>
      </c>
      <c r="E708" s="37">
        <f>ROUND(1.005/(1.5*0.6),4)</f>
        <v>1.1167</v>
      </c>
      <c r="F708" s="54" t="s">
        <v>560</v>
      </c>
      <c r="G708" s="54" t="str">
        <f t="shared" si="11"/>
        <v/>
      </c>
      <c r="H708" s="73"/>
      <c r="I708" s="74"/>
      <c r="J708" s="155">
        <v>0</v>
      </c>
    </row>
    <row r="709" spans="1:10" ht="15" hidden="1" thickBot="1" x14ac:dyDescent="0.35">
      <c r="A709" s="229"/>
      <c r="B709" s="224"/>
      <c r="C709" s="36" t="s">
        <v>1923</v>
      </c>
      <c r="D709" s="36" t="s">
        <v>939</v>
      </c>
      <c r="E709" s="37">
        <f>ROUND(0.0211/(1.5*0.6),4)</f>
        <v>2.3400000000000001E-2</v>
      </c>
      <c r="F709" s="54">
        <v>47.302499999999995</v>
      </c>
      <c r="G709" s="54">
        <f t="shared" si="11"/>
        <v>1.1068784999999999</v>
      </c>
      <c r="H709" s="73"/>
      <c r="I709" s="74"/>
      <c r="J709" s="155">
        <v>0</v>
      </c>
    </row>
    <row r="710" spans="1:10" ht="27" hidden="1" thickBot="1" x14ac:dyDescent="0.35">
      <c r="A710" s="229"/>
      <c r="B710" s="224"/>
      <c r="C710" s="36" t="s">
        <v>1832</v>
      </c>
      <c r="D710" s="36" t="s">
        <v>292</v>
      </c>
      <c r="E710" s="37">
        <f>ROUND(2/(1.5*0.6),4)</f>
        <v>2.2222</v>
      </c>
      <c r="F710" s="54">
        <v>20.638000000000002</v>
      </c>
      <c r="G710" s="54">
        <f t="shared" si="11"/>
        <v>45.861763600000003</v>
      </c>
      <c r="H710" s="73"/>
      <c r="I710" s="74"/>
      <c r="J710" s="155">
        <v>0</v>
      </c>
    </row>
    <row r="711" spans="1:10" ht="15" hidden="1" thickBot="1" x14ac:dyDescent="0.35">
      <c r="A711" s="229"/>
      <c r="B711" s="224"/>
      <c r="C711" s="36" t="s">
        <v>1696</v>
      </c>
      <c r="D711" s="36" t="s">
        <v>744</v>
      </c>
      <c r="E711" s="37">
        <f>ROUND(1.4944/(1.5*0.6),4)</f>
        <v>1.6604000000000001</v>
      </c>
      <c r="F711" s="54">
        <v>16.923500000000001</v>
      </c>
      <c r="G711" s="54">
        <f t="shared" si="11"/>
        <v>28.099779400000003</v>
      </c>
      <c r="H711" s="73"/>
      <c r="I711" s="74"/>
      <c r="J711" s="155">
        <v>0</v>
      </c>
    </row>
    <row r="712" spans="1:10" ht="15" hidden="1" thickBot="1" x14ac:dyDescent="0.35">
      <c r="A712" s="229"/>
      <c r="B712" s="224"/>
      <c r="C712" s="36" t="s">
        <v>745</v>
      </c>
      <c r="D712" s="36" t="s">
        <v>744</v>
      </c>
      <c r="E712" s="37">
        <f>ROUND(0.9834/(1.5*0.6),4)</f>
        <v>1.0927</v>
      </c>
      <c r="F712" s="54">
        <v>14.968499999999999</v>
      </c>
      <c r="G712" s="54">
        <f t="shared" si="11"/>
        <v>16.356079949999998</v>
      </c>
      <c r="H712" s="73"/>
      <c r="I712" s="74"/>
      <c r="J712" s="155">
        <v>0</v>
      </c>
    </row>
    <row r="713" spans="1:10" ht="15" hidden="1" thickBot="1" x14ac:dyDescent="0.35">
      <c r="A713" s="229"/>
      <c r="B713" s="224"/>
      <c r="C713" s="36"/>
      <c r="D713" s="36"/>
      <c r="E713" s="37"/>
      <c r="F713" s="31" t="s">
        <v>560</v>
      </c>
      <c r="G713" s="34" t="str">
        <f t="shared" si="11"/>
        <v/>
      </c>
      <c r="H713" s="35"/>
      <c r="I713" s="31"/>
      <c r="J713" s="155">
        <v>0</v>
      </c>
    </row>
    <row r="714" spans="1:10" ht="15" hidden="1" thickBot="1" x14ac:dyDescent="0.35">
      <c r="A714" s="226" t="s">
        <v>263</v>
      </c>
      <c r="B714" s="223" t="e">
        <f>INDEX(#REF!,MATCH(Composições!A714,#REF!,0),2)</f>
        <v>#REF!</v>
      </c>
      <c r="C714" s="41"/>
      <c r="D714" s="26" t="e">
        <f>TRIM(INDEX(#REF!,MATCH(Composições!A714,#REF!,0),1))</f>
        <v>#REF!</v>
      </c>
      <c r="E714" s="27"/>
      <c r="F714" s="42" t="s">
        <v>560</v>
      </c>
      <c r="G714" s="28" t="str">
        <f t="shared" si="11"/>
        <v/>
      </c>
      <c r="H714" s="29"/>
      <c r="I714" s="30"/>
      <c r="J714" s="155">
        <v>0</v>
      </c>
    </row>
    <row r="715" spans="1:10" ht="15" hidden="1" thickBot="1" x14ac:dyDescent="0.35">
      <c r="A715" s="229"/>
      <c r="B715" s="224"/>
      <c r="C715" s="32"/>
      <c r="D715" s="32"/>
      <c r="E715" s="33"/>
      <c r="F715" s="43" t="s">
        <v>560</v>
      </c>
      <c r="G715" s="31" t="str">
        <f t="shared" si="11"/>
        <v/>
      </c>
      <c r="H715" s="35"/>
      <c r="I715" s="31"/>
      <c r="J715" s="155">
        <v>0</v>
      </c>
    </row>
    <row r="716" spans="1:10" ht="15" hidden="1" thickBot="1" x14ac:dyDescent="0.35">
      <c r="A716" s="229"/>
      <c r="B716" s="224"/>
      <c r="C716" s="36" t="s">
        <v>1812</v>
      </c>
      <c r="D716" s="36" t="s">
        <v>939</v>
      </c>
      <c r="E716" s="37">
        <f>ROUND(0.5228/(1.5*0.6),4)</f>
        <v>0.58089999999999997</v>
      </c>
      <c r="F716" s="54">
        <v>22.074499999999997</v>
      </c>
      <c r="G716" s="54">
        <f t="shared" si="11"/>
        <v>12.823077049999998</v>
      </c>
      <c r="H716" s="39">
        <f>SUM(G716:G721)</f>
        <v>109.80093959999999</v>
      </c>
      <c r="I716" s="40"/>
      <c r="J716" s="155">
        <v>0</v>
      </c>
    </row>
    <row r="717" spans="1:10" ht="40.200000000000003" hidden="1" thickBot="1" x14ac:dyDescent="0.35">
      <c r="A717" s="229"/>
      <c r="B717" s="224"/>
      <c r="C717" s="36" t="s">
        <v>1181</v>
      </c>
      <c r="D717" s="36" t="s">
        <v>292</v>
      </c>
      <c r="E717" s="37">
        <f>ROUND(6/(1.5*0.6),4)</f>
        <v>6.6666999999999996</v>
      </c>
      <c r="F717" s="54">
        <v>0.83299999999999996</v>
      </c>
      <c r="G717" s="54">
        <f t="shared" si="11"/>
        <v>5.5533610999999992</v>
      </c>
      <c r="H717" s="73"/>
      <c r="I717" s="74"/>
      <c r="J717" s="155">
        <v>0</v>
      </c>
    </row>
    <row r="718" spans="1:10" ht="15" hidden="1" thickBot="1" x14ac:dyDescent="0.35">
      <c r="A718" s="229"/>
      <c r="B718" s="224"/>
      <c r="C718" s="36" t="s">
        <v>1923</v>
      </c>
      <c r="D718" s="36" t="s">
        <v>939</v>
      </c>
      <c r="E718" s="37">
        <f>ROUND(0.0211/(1.5*0.6),4)</f>
        <v>2.3400000000000001E-2</v>
      </c>
      <c r="F718" s="54">
        <v>47.302499999999995</v>
      </c>
      <c r="G718" s="54">
        <f t="shared" si="11"/>
        <v>1.1068784999999999</v>
      </c>
      <c r="H718" s="73"/>
      <c r="I718" s="74"/>
      <c r="J718" s="155">
        <v>0</v>
      </c>
    </row>
    <row r="719" spans="1:10" ht="27" hidden="1" thickBot="1" x14ac:dyDescent="0.35">
      <c r="A719" s="229"/>
      <c r="B719" s="224"/>
      <c r="C719" s="36" t="s">
        <v>1832</v>
      </c>
      <c r="D719" s="36" t="s">
        <v>292</v>
      </c>
      <c r="E719" s="37">
        <f>ROUND(2/(1.5*0.6),4)</f>
        <v>2.2222</v>
      </c>
      <c r="F719" s="54">
        <v>20.638000000000002</v>
      </c>
      <c r="G719" s="54">
        <f t="shared" si="11"/>
        <v>45.861763600000003</v>
      </c>
      <c r="H719" s="73"/>
      <c r="I719" s="74"/>
      <c r="J719" s="155">
        <v>0</v>
      </c>
    </row>
    <row r="720" spans="1:10" ht="15" hidden="1" thickBot="1" x14ac:dyDescent="0.35">
      <c r="A720" s="229"/>
      <c r="B720" s="224"/>
      <c r="C720" s="36" t="s">
        <v>1696</v>
      </c>
      <c r="D720" s="36" t="s">
        <v>744</v>
      </c>
      <c r="E720" s="37">
        <f>ROUND(1.4944/(1.5*0.6),4)</f>
        <v>1.6604000000000001</v>
      </c>
      <c r="F720" s="54">
        <v>16.923500000000001</v>
      </c>
      <c r="G720" s="54">
        <f t="shared" si="11"/>
        <v>28.099779400000003</v>
      </c>
      <c r="H720" s="73"/>
      <c r="I720" s="74"/>
      <c r="J720" s="155">
        <v>0</v>
      </c>
    </row>
    <row r="721" spans="1:10" ht="15" hidden="1" thickBot="1" x14ac:dyDescent="0.35">
      <c r="A721" s="229"/>
      <c r="B721" s="224"/>
      <c r="C721" s="36" t="s">
        <v>745</v>
      </c>
      <c r="D721" s="36" t="s">
        <v>744</v>
      </c>
      <c r="E721" s="37">
        <f>ROUND(0.9834/(1.5*0.6),4)</f>
        <v>1.0927</v>
      </c>
      <c r="F721" s="54">
        <v>14.968499999999999</v>
      </c>
      <c r="G721" s="54">
        <f t="shared" si="11"/>
        <v>16.356079949999998</v>
      </c>
      <c r="H721" s="73"/>
      <c r="I721" s="74"/>
      <c r="J721" s="155">
        <v>0</v>
      </c>
    </row>
    <row r="722" spans="1:10" ht="15" hidden="1" thickBot="1" x14ac:dyDescent="0.35">
      <c r="A722" s="230"/>
      <c r="B722" s="225"/>
      <c r="C722" s="36"/>
      <c r="D722" s="36"/>
      <c r="E722" s="37"/>
      <c r="F722" s="31" t="s">
        <v>560</v>
      </c>
      <c r="G722" s="31" t="str">
        <f t="shared" ref="G722:G785" si="12">IF(ISNUMBER(F722),E722*F722,"")</f>
        <v/>
      </c>
      <c r="H722" s="35"/>
      <c r="I722" s="31"/>
      <c r="J722" s="155">
        <v>0</v>
      </c>
    </row>
    <row r="723" spans="1:10" ht="15" hidden="1" thickBot="1" x14ac:dyDescent="0.35">
      <c r="A723" s="226" t="s">
        <v>264</v>
      </c>
      <c r="B723" s="223" t="e">
        <f>INDEX(#REF!,MATCH(Composições!A723,#REF!,0),2)</f>
        <v>#REF!</v>
      </c>
      <c r="C723" s="41"/>
      <c r="D723" s="26" t="e">
        <f>TRIM(INDEX(#REF!,MATCH(Composições!A723,#REF!,0),1))</f>
        <v>#REF!</v>
      </c>
      <c r="E723" s="27"/>
      <c r="F723" s="42" t="s">
        <v>560</v>
      </c>
      <c r="G723" s="28" t="str">
        <f t="shared" si="12"/>
        <v/>
      </c>
      <c r="H723" s="29"/>
      <c r="I723" s="30"/>
      <c r="J723" s="155">
        <v>0</v>
      </c>
    </row>
    <row r="724" spans="1:10" ht="15" hidden="1" thickBot="1" x14ac:dyDescent="0.35">
      <c r="A724" s="229"/>
      <c r="B724" s="224"/>
      <c r="C724" s="32"/>
      <c r="D724" s="32"/>
      <c r="E724" s="33"/>
      <c r="F724" s="43" t="s">
        <v>560</v>
      </c>
      <c r="G724" s="31" t="str">
        <f t="shared" si="12"/>
        <v/>
      </c>
      <c r="H724" s="35"/>
      <c r="I724" s="31"/>
      <c r="J724" s="155">
        <v>0</v>
      </c>
    </row>
    <row r="725" spans="1:10" ht="15" hidden="1" thickBot="1" x14ac:dyDescent="0.35">
      <c r="A725" s="229"/>
      <c r="B725" s="224"/>
      <c r="C725" s="36" t="s">
        <v>1933</v>
      </c>
      <c r="D725" s="36" t="s">
        <v>42</v>
      </c>
      <c r="E725" s="37">
        <f>0.8614</f>
        <v>0.86140000000000005</v>
      </c>
      <c r="F725" s="34">
        <v>1.1729999999999998</v>
      </c>
      <c r="G725" s="34">
        <f t="shared" si="12"/>
        <v>1.0104221999999998</v>
      </c>
      <c r="H725" s="39">
        <f>SUM(G725:G728)</f>
        <v>8.5851036999999994</v>
      </c>
      <c r="I725" s="40"/>
      <c r="J725" s="155">
        <v>0</v>
      </c>
    </row>
    <row r="726" spans="1:10" ht="15" hidden="1" thickBot="1" x14ac:dyDescent="0.35">
      <c r="A726" s="229"/>
      <c r="B726" s="224"/>
      <c r="C726" s="36" t="s">
        <v>54</v>
      </c>
      <c r="D726" s="36" t="s">
        <v>12</v>
      </c>
      <c r="E726" s="37">
        <f>0.299</f>
        <v>0.29899999999999999</v>
      </c>
      <c r="F726" s="31">
        <v>16.923500000000001</v>
      </c>
      <c r="G726" s="34">
        <f t="shared" si="12"/>
        <v>5.0601265</v>
      </c>
      <c r="H726" s="35"/>
      <c r="I726" s="31"/>
      <c r="J726" s="155">
        <v>0</v>
      </c>
    </row>
    <row r="727" spans="1:10" ht="15" hidden="1" thickBot="1" x14ac:dyDescent="0.35">
      <c r="A727" s="229"/>
      <c r="B727" s="224"/>
      <c r="C727" s="36" t="s">
        <v>23</v>
      </c>
      <c r="D727" s="36" t="s">
        <v>12</v>
      </c>
      <c r="E727" s="37">
        <f>0.15</f>
        <v>0.15</v>
      </c>
      <c r="F727" s="31">
        <v>14.968499999999999</v>
      </c>
      <c r="G727" s="34">
        <f t="shared" si="12"/>
        <v>2.2452749999999999</v>
      </c>
      <c r="H727" s="35"/>
      <c r="I727" s="31"/>
      <c r="J727" s="155">
        <v>0</v>
      </c>
    </row>
    <row r="728" spans="1:10" ht="15" hidden="1" thickBot="1" x14ac:dyDescent="0.35">
      <c r="A728" s="229"/>
      <c r="B728" s="224"/>
      <c r="C728" s="36" t="s">
        <v>1932</v>
      </c>
      <c r="D728" s="36" t="s">
        <v>42</v>
      </c>
      <c r="E728" s="37">
        <f>0.12</f>
        <v>0.12</v>
      </c>
      <c r="F728" s="34">
        <v>2.2440000000000002</v>
      </c>
      <c r="G728" s="34">
        <f t="shared" si="12"/>
        <v>0.26928000000000002</v>
      </c>
      <c r="H728" s="35"/>
      <c r="I728" s="31"/>
      <c r="J728" s="155">
        <v>0</v>
      </c>
    </row>
    <row r="729" spans="1:10" ht="15" hidden="1" thickBot="1" x14ac:dyDescent="0.35">
      <c r="A729" s="230"/>
      <c r="B729" s="225"/>
      <c r="C729" s="36"/>
      <c r="D729" s="36"/>
      <c r="E729" s="37"/>
      <c r="F729" s="31" t="s">
        <v>560</v>
      </c>
      <c r="G729" s="31" t="str">
        <f t="shared" si="12"/>
        <v/>
      </c>
      <c r="H729" s="35"/>
      <c r="I729" s="31"/>
      <c r="J729" s="155">
        <v>0</v>
      </c>
    </row>
    <row r="730" spans="1:10" ht="15" hidden="1" thickBot="1" x14ac:dyDescent="0.35">
      <c r="A730" s="226" t="s">
        <v>265</v>
      </c>
      <c r="B730" s="223" t="e">
        <f>INDEX(#REF!,MATCH(Composições!A730,#REF!,0),2)</f>
        <v>#REF!</v>
      </c>
      <c r="C730" s="41"/>
      <c r="D730" s="26" t="e">
        <f>TRIM(INDEX(#REF!,MATCH(Composições!A730,#REF!,0),1))</f>
        <v>#REF!</v>
      </c>
      <c r="E730" s="27"/>
      <c r="F730" s="42" t="s">
        <v>560</v>
      </c>
      <c r="G730" s="28" t="str">
        <f t="shared" si="12"/>
        <v/>
      </c>
      <c r="H730" s="29"/>
      <c r="I730" s="30"/>
      <c r="J730" s="155">
        <v>0</v>
      </c>
    </row>
    <row r="731" spans="1:10" ht="15" hidden="1" thickBot="1" x14ac:dyDescent="0.35">
      <c r="A731" s="229"/>
      <c r="B731" s="224"/>
      <c r="C731" s="32"/>
      <c r="D731" s="32"/>
      <c r="E731" s="33"/>
      <c r="F731" s="43" t="s">
        <v>560</v>
      </c>
      <c r="G731" s="31" t="str">
        <f t="shared" si="12"/>
        <v/>
      </c>
      <c r="H731" s="35"/>
      <c r="I731" s="31"/>
      <c r="J731" s="155">
        <v>0</v>
      </c>
    </row>
    <row r="732" spans="1:10" ht="15" hidden="1" thickBot="1" x14ac:dyDescent="0.35">
      <c r="A732" s="229"/>
      <c r="B732" s="224"/>
      <c r="C732" s="36" t="s">
        <v>54</v>
      </c>
      <c r="D732" s="36" t="s">
        <v>12</v>
      </c>
      <c r="E732" s="37">
        <v>1.1879999999999999</v>
      </c>
      <c r="F732" s="31">
        <v>16.923500000000001</v>
      </c>
      <c r="G732" s="34">
        <f t="shared" si="12"/>
        <v>20.105118000000001</v>
      </c>
      <c r="H732" s="39">
        <f>SUM(G732:G734)</f>
        <v>39.107666999999992</v>
      </c>
      <c r="I732" s="40"/>
      <c r="J732" s="155">
        <v>0</v>
      </c>
    </row>
    <row r="733" spans="1:10" ht="15" hidden="1" thickBot="1" x14ac:dyDescent="0.35">
      <c r="A733" s="229"/>
      <c r="B733" s="224"/>
      <c r="C733" s="36" t="s">
        <v>23</v>
      </c>
      <c r="D733" s="36" t="s">
        <v>12</v>
      </c>
      <c r="E733" s="37">
        <v>0.59399999999999997</v>
      </c>
      <c r="F733" s="31">
        <v>14.968499999999999</v>
      </c>
      <c r="G733" s="34">
        <f t="shared" si="12"/>
        <v>8.8912889999999987</v>
      </c>
      <c r="H733" s="35"/>
      <c r="I733" s="31"/>
      <c r="J733" s="155">
        <v>0</v>
      </c>
    </row>
    <row r="734" spans="1:10" ht="15" hidden="1" thickBot="1" x14ac:dyDescent="0.35">
      <c r="A734" s="229"/>
      <c r="B734" s="224"/>
      <c r="C734" s="36" t="s">
        <v>1933</v>
      </c>
      <c r="D734" s="36" t="s">
        <v>42</v>
      </c>
      <c r="E734" s="37">
        <v>8.6199999999999992</v>
      </c>
      <c r="F734" s="34">
        <v>1.1729999999999998</v>
      </c>
      <c r="G734" s="34">
        <f t="shared" si="12"/>
        <v>10.111259999999998</v>
      </c>
      <c r="H734" s="35"/>
      <c r="I734" s="31"/>
      <c r="J734" s="155">
        <v>0</v>
      </c>
    </row>
    <row r="735" spans="1:10" ht="15" hidden="1" thickBot="1" x14ac:dyDescent="0.35">
      <c r="A735" s="230"/>
      <c r="B735" s="225"/>
      <c r="C735" s="36"/>
      <c r="D735" s="36"/>
      <c r="E735" s="37"/>
      <c r="F735" s="31" t="s">
        <v>560</v>
      </c>
      <c r="G735" s="31" t="str">
        <f t="shared" si="12"/>
        <v/>
      </c>
      <c r="H735" s="35"/>
      <c r="I735" s="31"/>
      <c r="J735" s="155">
        <v>0</v>
      </c>
    </row>
    <row r="736" spans="1:10" ht="15" hidden="1" thickBot="1" x14ac:dyDescent="0.35">
      <c r="A736" s="226" t="s">
        <v>266</v>
      </c>
      <c r="B736" s="223" t="e">
        <f>INDEX(#REF!,MATCH(Composições!A736,#REF!,0),2)</f>
        <v>#REF!</v>
      </c>
      <c r="C736" s="41"/>
      <c r="D736" s="26" t="e">
        <f>TRIM(INDEX(#REF!,MATCH(Composições!A736,#REF!,0),1))</f>
        <v>#REF!</v>
      </c>
      <c r="E736" s="27"/>
      <c r="F736" s="42" t="s">
        <v>560</v>
      </c>
      <c r="G736" s="28" t="str">
        <f t="shared" si="12"/>
        <v/>
      </c>
      <c r="H736" s="29"/>
      <c r="I736" s="30"/>
      <c r="J736" s="155">
        <v>0</v>
      </c>
    </row>
    <row r="737" spans="1:10" ht="15" hidden="1" thickBot="1" x14ac:dyDescent="0.35">
      <c r="A737" s="229"/>
      <c r="B737" s="224"/>
      <c r="C737" s="32"/>
      <c r="D737" s="32"/>
      <c r="E737" s="33"/>
      <c r="F737" s="43" t="s">
        <v>560</v>
      </c>
      <c r="G737" s="31" t="str">
        <f t="shared" si="12"/>
        <v/>
      </c>
      <c r="H737" s="35"/>
      <c r="I737" s="31"/>
      <c r="J737" s="155">
        <v>0</v>
      </c>
    </row>
    <row r="738" spans="1:10" ht="27" hidden="1" thickBot="1" x14ac:dyDescent="0.35">
      <c r="A738" s="229"/>
      <c r="B738" s="224"/>
      <c r="C738" s="36" t="s">
        <v>267</v>
      </c>
      <c r="D738" s="36" t="s">
        <v>93</v>
      </c>
      <c r="E738" s="37">
        <f>ROUND(1.04/0.15,4)</f>
        <v>6.9333</v>
      </c>
      <c r="F738" s="34" t="s">
        <v>560</v>
      </c>
      <c r="G738" s="34" t="str">
        <f t="shared" si="12"/>
        <v/>
      </c>
      <c r="H738" s="39">
        <f>SUM(G738:G742)</f>
        <v>39.421827</v>
      </c>
      <c r="I738" s="40"/>
      <c r="J738" s="155">
        <v>0</v>
      </c>
    </row>
    <row r="739" spans="1:10" ht="15" hidden="1" thickBot="1" x14ac:dyDescent="0.35">
      <c r="A739" s="229"/>
      <c r="B739" s="224"/>
      <c r="C739" s="36" t="s">
        <v>1933</v>
      </c>
      <c r="D739" s="36" t="s">
        <v>42</v>
      </c>
      <c r="E739" s="37">
        <v>8.6199999999999992</v>
      </c>
      <c r="F739" s="34">
        <v>1.1729999999999998</v>
      </c>
      <c r="G739" s="34">
        <f t="shared" si="12"/>
        <v>10.111259999999998</v>
      </c>
      <c r="H739" s="35"/>
      <c r="I739" s="31"/>
      <c r="J739" s="155">
        <v>0</v>
      </c>
    </row>
    <row r="740" spans="1:10" ht="15" hidden="1" thickBot="1" x14ac:dyDescent="0.35">
      <c r="A740" s="229"/>
      <c r="B740" s="224"/>
      <c r="C740" s="36" t="s">
        <v>54</v>
      </c>
      <c r="D740" s="36" t="s">
        <v>12</v>
      </c>
      <c r="E740" s="37">
        <v>1.1879999999999999</v>
      </c>
      <c r="F740" s="31">
        <v>16.923500000000001</v>
      </c>
      <c r="G740" s="34">
        <f t="shared" si="12"/>
        <v>20.105118000000001</v>
      </c>
      <c r="H740" s="35"/>
      <c r="I740" s="31"/>
      <c r="J740" s="155">
        <v>0</v>
      </c>
    </row>
    <row r="741" spans="1:10" ht="15" hidden="1" thickBot="1" x14ac:dyDescent="0.35">
      <c r="A741" s="229"/>
      <c r="B741" s="224"/>
      <c r="C741" s="36" t="s">
        <v>23</v>
      </c>
      <c r="D741" s="36" t="s">
        <v>12</v>
      </c>
      <c r="E741" s="37">
        <v>0.59399999999999997</v>
      </c>
      <c r="F741" s="31">
        <v>14.968499999999999</v>
      </c>
      <c r="G741" s="34">
        <f t="shared" si="12"/>
        <v>8.8912889999999987</v>
      </c>
      <c r="H741" s="35"/>
      <c r="I741" s="31"/>
      <c r="J741" s="155">
        <v>0</v>
      </c>
    </row>
    <row r="742" spans="1:10" ht="15" hidden="1" thickBot="1" x14ac:dyDescent="0.35">
      <c r="A742" s="229"/>
      <c r="B742" s="224"/>
      <c r="C742" s="36" t="s">
        <v>1932</v>
      </c>
      <c r="D742" s="36" t="s">
        <v>42</v>
      </c>
      <c r="E742" s="37">
        <v>0.14000000000000001</v>
      </c>
      <c r="F742" s="34">
        <v>2.2440000000000002</v>
      </c>
      <c r="G742" s="34">
        <f t="shared" si="12"/>
        <v>0.31416000000000005</v>
      </c>
      <c r="H742" s="35"/>
      <c r="I742" s="31"/>
      <c r="J742" s="155">
        <v>0</v>
      </c>
    </row>
    <row r="743" spans="1:10" ht="15" hidden="1" thickBot="1" x14ac:dyDescent="0.35">
      <c r="A743" s="229"/>
      <c r="B743" s="224"/>
      <c r="C743" s="36"/>
      <c r="D743" s="36"/>
      <c r="E743" s="37"/>
      <c r="F743" s="34" t="s">
        <v>560</v>
      </c>
      <c r="G743" s="34" t="str">
        <f t="shared" si="12"/>
        <v/>
      </c>
      <c r="H743" s="35"/>
      <c r="I743" s="31"/>
      <c r="J743" s="155">
        <v>0</v>
      </c>
    </row>
    <row r="744" spans="1:10" ht="15" hidden="1" thickBot="1" x14ac:dyDescent="0.35">
      <c r="A744" s="226" t="s">
        <v>268</v>
      </c>
      <c r="B744" s="223" t="e">
        <f>INDEX(#REF!,MATCH(Composições!A744,#REF!,0),2)</f>
        <v>#REF!</v>
      </c>
      <c r="C744" s="41"/>
      <c r="D744" s="26" t="e">
        <f>TRIM(INDEX(#REF!,MATCH(Composições!A744,#REF!,0),1))</f>
        <v>#REF!</v>
      </c>
      <c r="E744" s="27"/>
      <c r="F744" s="42" t="s">
        <v>560</v>
      </c>
      <c r="G744" s="28" t="str">
        <f t="shared" si="12"/>
        <v/>
      </c>
      <c r="H744" s="29"/>
      <c r="I744" s="30"/>
      <c r="J744" s="155">
        <v>0</v>
      </c>
    </row>
    <row r="745" spans="1:10" ht="15" hidden="1" thickBot="1" x14ac:dyDescent="0.35">
      <c r="A745" s="229"/>
      <c r="B745" s="224"/>
      <c r="C745" s="32"/>
      <c r="D745" s="32"/>
      <c r="E745" s="33"/>
      <c r="F745" s="43" t="s">
        <v>560</v>
      </c>
      <c r="G745" s="31" t="str">
        <f t="shared" si="12"/>
        <v/>
      </c>
      <c r="H745" s="35"/>
      <c r="I745" s="31"/>
      <c r="J745" s="155">
        <v>0</v>
      </c>
    </row>
    <row r="746" spans="1:10" ht="27" hidden="1" thickBot="1" x14ac:dyDescent="0.35">
      <c r="A746" s="229"/>
      <c r="B746" s="224"/>
      <c r="C746" s="36" t="s">
        <v>269</v>
      </c>
      <c r="D746" s="47" t="s">
        <v>95</v>
      </c>
      <c r="E746" s="37">
        <v>1</v>
      </c>
      <c r="F746" s="31">
        <v>6.8000000000000005E-2</v>
      </c>
      <c r="G746" s="34">
        <f t="shared" si="12"/>
        <v>6.8000000000000005E-2</v>
      </c>
      <c r="H746" s="39">
        <f>SUM(G746:G746)</f>
        <v>6.8000000000000005E-2</v>
      </c>
      <c r="I746" s="40"/>
      <c r="J746" s="155">
        <v>0</v>
      </c>
    </row>
    <row r="747" spans="1:10" ht="15" hidden="1" thickBot="1" x14ac:dyDescent="0.35">
      <c r="A747" s="230"/>
      <c r="B747" s="225"/>
      <c r="C747" s="36"/>
      <c r="D747" s="36"/>
      <c r="E747" s="37"/>
      <c r="F747" s="31" t="s">
        <v>560</v>
      </c>
      <c r="G747" s="31" t="str">
        <f t="shared" si="12"/>
        <v/>
      </c>
      <c r="H747" s="35"/>
      <c r="I747" s="31"/>
      <c r="J747" s="155">
        <v>0</v>
      </c>
    </row>
    <row r="748" spans="1:10" ht="15" hidden="1" thickBot="1" x14ac:dyDescent="0.35">
      <c r="A748" s="226" t="s">
        <v>270</v>
      </c>
      <c r="B748" s="223" t="e">
        <f>INDEX(#REF!,MATCH(Composições!A748,#REF!,0),2)</f>
        <v>#REF!</v>
      </c>
      <c r="C748" s="41"/>
      <c r="D748" s="26" t="e">
        <f>TRIM(INDEX(#REF!,MATCH(Composições!A748,#REF!,0),1))</f>
        <v>#REF!</v>
      </c>
      <c r="E748" s="27"/>
      <c r="F748" s="42" t="s">
        <v>560</v>
      </c>
      <c r="G748" s="28" t="str">
        <f t="shared" si="12"/>
        <v/>
      </c>
      <c r="H748" s="29"/>
      <c r="I748" s="30"/>
      <c r="J748" s="155">
        <v>0</v>
      </c>
    </row>
    <row r="749" spans="1:10" ht="15" hidden="1" thickBot="1" x14ac:dyDescent="0.35">
      <c r="A749" s="229"/>
      <c r="B749" s="224"/>
      <c r="C749" s="32"/>
      <c r="D749" s="32"/>
      <c r="E749" s="33"/>
      <c r="F749" s="43" t="s">
        <v>560</v>
      </c>
      <c r="G749" s="31" t="str">
        <f t="shared" si="12"/>
        <v/>
      </c>
      <c r="H749" s="35"/>
      <c r="I749" s="31"/>
      <c r="J749" s="155">
        <v>0</v>
      </c>
    </row>
    <row r="750" spans="1:10" ht="27" hidden="1" thickBot="1" x14ac:dyDescent="0.35">
      <c r="A750" s="229"/>
      <c r="B750" s="224"/>
      <c r="C750" s="36" t="s">
        <v>271</v>
      </c>
      <c r="D750" s="47" t="s">
        <v>93</v>
      </c>
      <c r="E750" s="37">
        <f>2*(1.5+0.67)</f>
        <v>4.34</v>
      </c>
      <c r="F750" s="34">
        <v>4.4624999999999995</v>
      </c>
      <c r="G750" s="34">
        <f t="shared" si="12"/>
        <v>19.367249999999999</v>
      </c>
      <c r="H750" s="39">
        <f>SUM(G750:G753)</f>
        <v>54.548749999999998</v>
      </c>
      <c r="I750" s="40"/>
      <c r="J750" s="155">
        <v>0</v>
      </c>
    </row>
    <row r="751" spans="1:10" ht="15" hidden="1" thickBot="1" x14ac:dyDescent="0.35">
      <c r="A751" s="229"/>
      <c r="B751" s="224"/>
      <c r="C751" s="36" t="s">
        <v>272</v>
      </c>
      <c r="D751" s="47" t="s">
        <v>95</v>
      </c>
      <c r="E751" s="37">
        <f>0.36/0.6/0.6</f>
        <v>1</v>
      </c>
      <c r="F751" s="34" t="s">
        <v>560</v>
      </c>
      <c r="G751" s="34" t="str">
        <f t="shared" si="12"/>
        <v/>
      </c>
      <c r="H751" s="35"/>
      <c r="I751" s="31"/>
      <c r="J751" s="155">
        <v>0</v>
      </c>
    </row>
    <row r="752" spans="1:10" ht="15" hidden="1" thickBot="1" x14ac:dyDescent="0.35">
      <c r="A752" s="229"/>
      <c r="B752" s="224"/>
      <c r="C752" s="36" t="s">
        <v>184</v>
      </c>
      <c r="D752" s="47" t="s">
        <v>12</v>
      </c>
      <c r="E752" s="37">
        <v>1</v>
      </c>
      <c r="F752" s="31">
        <v>20.213000000000001</v>
      </c>
      <c r="G752" s="34">
        <f t="shared" si="12"/>
        <v>20.213000000000001</v>
      </c>
      <c r="H752" s="35"/>
      <c r="I752" s="31"/>
      <c r="J752" s="155">
        <v>0</v>
      </c>
    </row>
    <row r="753" spans="1:10" ht="15" hidden="1" thickBot="1" x14ac:dyDescent="0.35">
      <c r="A753" s="229"/>
      <c r="B753" s="224"/>
      <c r="C753" s="36" t="s">
        <v>23</v>
      </c>
      <c r="D753" s="47" t="s">
        <v>12</v>
      </c>
      <c r="E753" s="37">
        <v>1</v>
      </c>
      <c r="F753" s="31">
        <v>14.968499999999999</v>
      </c>
      <c r="G753" s="34">
        <f t="shared" si="12"/>
        <v>14.968499999999999</v>
      </c>
      <c r="H753" s="35"/>
      <c r="I753" s="31"/>
      <c r="J753" s="155">
        <v>0</v>
      </c>
    </row>
    <row r="754" spans="1:10" ht="15" hidden="1" thickBot="1" x14ac:dyDescent="0.35">
      <c r="A754" s="230"/>
      <c r="B754" s="225"/>
      <c r="C754" s="36"/>
      <c r="D754" s="36"/>
      <c r="E754" s="37"/>
      <c r="F754" s="31" t="s">
        <v>560</v>
      </c>
      <c r="G754" s="31" t="str">
        <f t="shared" si="12"/>
        <v/>
      </c>
      <c r="H754" s="35"/>
      <c r="I754" s="31"/>
      <c r="J754" s="155">
        <v>0</v>
      </c>
    </row>
    <row r="755" spans="1:10" ht="15" hidden="1" thickBot="1" x14ac:dyDescent="0.35">
      <c r="A755" s="226" t="s">
        <v>273</v>
      </c>
      <c r="B755" s="223" t="e">
        <f>INDEX(#REF!,MATCH(Composições!A755,#REF!,0),2)</f>
        <v>#REF!</v>
      </c>
      <c r="C755" s="41"/>
      <c r="D755" s="26" t="e">
        <f>TRIM(INDEX(#REF!,MATCH(Composições!A755,#REF!,0),1))</f>
        <v>#REF!</v>
      </c>
      <c r="E755" s="27"/>
      <c r="F755" s="42" t="s">
        <v>560</v>
      </c>
      <c r="G755" s="28" t="str">
        <f t="shared" si="12"/>
        <v/>
      </c>
      <c r="H755" s="29"/>
      <c r="I755" s="30"/>
      <c r="J755" s="155">
        <v>0</v>
      </c>
    </row>
    <row r="756" spans="1:10" ht="15" hidden="1" thickBot="1" x14ac:dyDescent="0.35">
      <c r="A756" s="229"/>
      <c r="B756" s="224"/>
      <c r="C756" s="32"/>
      <c r="D756" s="32"/>
      <c r="E756" s="33"/>
      <c r="F756" s="43" t="s">
        <v>560</v>
      </c>
      <c r="G756" s="31" t="str">
        <f t="shared" si="12"/>
        <v/>
      </c>
      <c r="H756" s="35"/>
      <c r="I756" s="31"/>
      <c r="J756" s="155">
        <v>0</v>
      </c>
    </row>
    <row r="757" spans="1:10" ht="27" hidden="1" thickBot="1" x14ac:dyDescent="0.35">
      <c r="A757" s="229"/>
      <c r="B757" s="224"/>
      <c r="C757" s="36" t="s">
        <v>274</v>
      </c>
      <c r="D757" s="47" t="s">
        <v>42</v>
      </c>
      <c r="E757" s="37">
        <v>4.2599999999999999E-2</v>
      </c>
      <c r="F757" s="34">
        <v>22.61</v>
      </c>
      <c r="G757" s="31">
        <f t="shared" si="12"/>
        <v>0.96318599999999999</v>
      </c>
      <c r="H757" s="39">
        <f>SUM(G757:G764)</f>
        <v>59.247270349999994</v>
      </c>
      <c r="I757" s="40"/>
      <c r="J757" s="155">
        <v>0</v>
      </c>
    </row>
    <row r="758" spans="1:10" ht="27" hidden="1" thickBot="1" x14ac:dyDescent="0.35">
      <c r="A758" s="229"/>
      <c r="B758" s="224"/>
      <c r="C758" s="36" t="s">
        <v>275</v>
      </c>
      <c r="D758" s="47" t="s">
        <v>95</v>
      </c>
      <c r="E758" s="37">
        <v>1.0955999999999999</v>
      </c>
      <c r="F758" s="34">
        <v>23.8</v>
      </c>
      <c r="G758" s="31">
        <f t="shared" si="12"/>
        <v>26.075279999999999</v>
      </c>
      <c r="H758" s="35"/>
      <c r="I758" s="31"/>
      <c r="J758" s="155">
        <v>0</v>
      </c>
    </row>
    <row r="759" spans="1:10" ht="27" hidden="1" thickBot="1" x14ac:dyDescent="0.35">
      <c r="A759" s="229"/>
      <c r="B759" s="224"/>
      <c r="C759" s="36" t="s">
        <v>276</v>
      </c>
      <c r="D759" s="47" t="s">
        <v>93</v>
      </c>
      <c r="E759" s="37">
        <v>3.8498999999999999</v>
      </c>
      <c r="F759" s="34">
        <v>5.3125</v>
      </c>
      <c r="G759" s="31">
        <f t="shared" si="12"/>
        <v>20.452593749999998</v>
      </c>
      <c r="H759" s="35"/>
      <c r="I759" s="31"/>
      <c r="J759" s="155">
        <v>0</v>
      </c>
    </row>
    <row r="760" spans="1:10" ht="27" hidden="1" thickBot="1" x14ac:dyDescent="0.35">
      <c r="A760" s="229"/>
      <c r="B760" s="224"/>
      <c r="C760" s="36" t="s">
        <v>277</v>
      </c>
      <c r="D760" s="47" t="s">
        <v>20</v>
      </c>
      <c r="E760" s="37">
        <v>1.3265</v>
      </c>
      <c r="F760" s="34">
        <v>1.9975000000000001</v>
      </c>
      <c r="G760" s="31">
        <f t="shared" si="12"/>
        <v>2.6496837499999999</v>
      </c>
      <c r="H760" s="35"/>
      <c r="I760" s="31"/>
      <c r="J760" s="155">
        <v>0</v>
      </c>
    </row>
    <row r="761" spans="1:10" ht="27" hidden="1" thickBot="1" x14ac:dyDescent="0.35">
      <c r="A761" s="229"/>
      <c r="B761" s="224"/>
      <c r="C761" s="36" t="s">
        <v>165</v>
      </c>
      <c r="D761" s="47" t="s">
        <v>20</v>
      </c>
      <c r="E761" s="37">
        <v>2.1911999999999998</v>
      </c>
      <c r="F761" s="34">
        <v>0.13600000000000001</v>
      </c>
      <c r="G761" s="31">
        <f t="shared" si="12"/>
        <v>0.29800320000000002</v>
      </c>
      <c r="H761" s="35"/>
      <c r="I761" s="31"/>
      <c r="J761" s="155">
        <v>0</v>
      </c>
    </row>
    <row r="762" spans="1:10" ht="15" hidden="1" thickBot="1" x14ac:dyDescent="0.35">
      <c r="A762" s="229"/>
      <c r="B762" s="224"/>
      <c r="C762" s="36" t="s">
        <v>278</v>
      </c>
      <c r="D762" s="47" t="s">
        <v>156</v>
      </c>
      <c r="E762" s="37">
        <v>1.32E-2</v>
      </c>
      <c r="F762" s="34">
        <v>15.342499999999999</v>
      </c>
      <c r="G762" s="31">
        <f t="shared" si="12"/>
        <v>0.20252099999999998</v>
      </c>
      <c r="H762" s="35"/>
      <c r="I762" s="31"/>
      <c r="J762" s="155">
        <v>0</v>
      </c>
    </row>
    <row r="763" spans="1:10" ht="27" hidden="1" thickBot="1" x14ac:dyDescent="0.35">
      <c r="A763" s="229"/>
      <c r="B763" s="224"/>
      <c r="C763" s="36" t="s">
        <v>279</v>
      </c>
      <c r="D763" s="47" t="s">
        <v>156</v>
      </c>
      <c r="E763" s="37">
        <v>3.3300000000000003E-2</v>
      </c>
      <c r="F763" s="34">
        <v>26.307499999999997</v>
      </c>
      <c r="G763" s="31">
        <f t="shared" si="12"/>
        <v>0.87603975000000001</v>
      </c>
      <c r="H763" s="35"/>
      <c r="I763" s="31"/>
      <c r="J763" s="155">
        <v>0</v>
      </c>
    </row>
    <row r="764" spans="1:10" ht="15" hidden="1" thickBot="1" x14ac:dyDescent="0.35">
      <c r="A764" s="229"/>
      <c r="B764" s="224"/>
      <c r="C764" s="36" t="s">
        <v>27</v>
      </c>
      <c r="D764" s="47" t="s">
        <v>12</v>
      </c>
      <c r="E764" s="37">
        <v>0.49940000000000001</v>
      </c>
      <c r="F764" s="31">
        <v>15.4785</v>
      </c>
      <c r="G764" s="31">
        <f t="shared" si="12"/>
        <v>7.7299629000000003</v>
      </c>
      <c r="H764" s="35"/>
      <c r="I764" s="31"/>
      <c r="J764" s="155">
        <v>0</v>
      </c>
    </row>
    <row r="765" spans="1:10" ht="15" hidden="1" thickBot="1" x14ac:dyDescent="0.35">
      <c r="A765" s="230"/>
      <c r="B765" s="225"/>
      <c r="C765" s="36"/>
      <c r="D765" s="36"/>
      <c r="E765" s="37"/>
      <c r="F765" s="31" t="s">
        <v>560</v>
      </c>
      <c r="G765" s="31" t="str">
        <f t="shared" si="12"/>
        <v/>
      </c>
      <c r="H765" s="35"/>
      <c r="I765" s="31"/>
      <c r="J765" s="155">
        <v>0</v>
      </c>
    </row>
    <row r="766" spans="1:10" ht="15" hidden="1" thickBot="1" x14ac:dyDescent="0.35">
      <c r="A766" s="226" t="s">
        <v>280</v>
      </c>
      <c r="B766" s="223" t="e">
        <f>INDEX(#REF!,MATCH(Composições!A766,#REF!,0),2)</f>
        <v>#REF!</v>
      </c>
      <c r="C766" s="41"/>
      <c r="D766" s="26" t="e">
        <f>TRIM(INDEX(#REF!,MATCH(Composições!A766,#REF!,0),1))</f>
        <v>#REF!</v>
      </c>
      <c r="E766" s="27"/>
      <c r="F766" s="42" t="s">
        <v>560</v>
      </c>
      <c r="G766" s="28" t="str">
        <f t="shared" si="12"/>
        <v/>
      </c>
      <c r="H766" s="29"/>
      <c r="I766" s="30"/>
      <c r="J766" s="155">
        <v>0</v>
      </c>
    </row>
    <row r="767" spans="1:10" ht="15" hidden="1" thickBot="1" x14ac:dyDescent="0.35">
      <c r="A767" s="229"/>
      <c r="B767" s="224"/>
      <c r="C767" s="32"/>
      <c r="D767" s="32"/>
      <c r="E767" s="33"/>
      <c r="F767" s="43" t="s">
        <v>560</v>
      </c>
      <c r="G767" s="31" t="str">
        <f t="shared" si="12"/>
        <v/>
      </c>
      <c r="H767" s="35"/>
      <c r="I767" s="31"/>
      <c r="J767" s="155">
        <v>0</v>
      </c>
    </row>
    <row r="768" spans="1:10" ht="27" hidden="1" thickBot="1" x14ac:dyDescent="0.35">
      <c r="A768" s="229"/>
      <c r="B768" s="224"/>
      <c r="C768" s="36" t="s">
        <v>275</v>
      </c>
      <c r="D768" s="47" t="s">
        <v>95</v>
      </c>
      <c r="E768" s="37">
        <v>1.0955999999999999</v>
      </c>
      <c r="F768" s="34">
        <v>23.8</v>
      </c>
      <c r="G768" s="31">
        <f t="shared" si="12"/>
        <v>26.075279999999999</v>
      </c>
      <c r="H768" s="39">
        <f>SUM(G768:G770)</f>
        <v>28.691962499999999</v>
      </c>
      <c r="I768" s="40"/>
      <c r="J768" s="155">
        <v>0</v>
      </c>
    </row>
    <row r="769" spans="1:10" ht="27" hidden="1" thickBot="1" x14ac:dyDescent="0.35">
      <c r="A769" s="229"/>
      <c r="B769" s="224"/>
      <c r="C769" s="36" t="s">
        <v>165</v>
      </c>
      <c r="D769" s="47" t="s">
        <v>20</v>
      </c>
      <c r="E769" s="37">
        <v>2.1911999999999998</v>
      </c>
      <c r="F769" s="34">
        <v>0.13600000000000001</v>
      </c>
      <c r="G769" s="34">
        <f t="shared" si="12"/>
        <v>0.29800320000000002</v>
      </c>
      <c r="H769" s="44"/>
      <c r="I769" s="40"/>
      <c r="J769" s="155">
        <v>0</v>
      </c>
    </row>
    <row r="770" spans="1:10" ht="15" hidden="1" thickBot="1" x14ac:dyDescent="0.35">
      <c r="A770" s="229"/>
      <c r="B770" s="224"/>
      <c r="C770" s="36" t="s">
        <v>27</v>
      </c>
      <c r="D770" s="47" t="s">
        <v>12</v>
      </c>
      <c r="E770" s="37">
        <f>ROUND(0.4994*0.3,4)</f>
        <v>0.14979999999999999</v>
      </c>
      <c r="F770" s="31">
        <v>15.4785</v>
      </c>
      <c r="G770" s="34">
        <f t="shared" si="12"/>
        <v>2.3186792999999999</v>
      </c>
      <c r="H770" s="35"/>
      <c r="I770" s="31"/>
      <c r="J770" s="155">
        <v>0</v>
      </c>
    </row>
    <row r="771" spans="1:10" ht="15" hidden="1" thickBot="1" x14ac:dyDescent="0.35">
      <c r="A771" s="230"/>
      <c r="B771" s="225"/>
      <c r="C771" s="36"/>
      <c r="D771" s="36"/>
      <c r="E771" s="37"/>
      <c r="F771" s="31" t="s">
        <v>560</v>
      </c>
      <c r="G771" s="31" t="str">
        <f t="shared" si="12"/>
        <v/>
      </c>
      <c r="H771" s="35"/>
      <c r="I771" s="31"/>
      <c r="J771" s="155">
        <v>0</v>
      </c>
    </row>
    <row r="772" spans="1:10" ht="15" hidden="1" thickBot="1" x14ac:dyDescent="0.35">
      <c r="A772" s="226" t="s">
        <v>281</v>
      </c>
      <c r="B772" s="223" t="e">
        <f>INDEX(#REF!,MATCH(Composições!A772,#REF!,0),2)</f>
        <v>#REF!</v>
      </c>
      <c r="C772" s="41"/>
      <c r="D772" s="26" t="e">
        <f>TRIM(INDEX(#REF!,MATCH(Composições!A772,#REF!,0),1))</f>
        <v>#REF!</v>
      </c>
      <c r="E772" s="27"/>
      <c r="F772" s="42" t="s">
        <v>560</v>
      </c>
      <c r="G772" s="28" t="str">
        <f t="shared" si="12"/>
        <v/>
      </c>
      <c r="H772" s="29"/>
      <c r="I772" s="30"/>
      <c r="J772" s="155">
        <v>0</v>
      </c>
    </row>
    <row r="773" spans="1:10" ht="15" hidden="1" thickBot="1" x14ac:dyDescent="0.35">
      <c r="A773" s="227"/>
      <c r="B773" s="224"/>
      <c r="C773" s="32"/>
      <c r="D773" s="32"/>
      <c r="E773" s="33"/>
      <c r="F773" s="43" t="s">
        <v>560</v>
      </c>
      <c r="G773" s="31" t="str">
        <f t="shared" si="12"/>
        <v/>
      </c>
      <c r="H773" s="35"/>
      <c r="I773" s="31"/>
      <c r="J773" s="155">
        <v>0</v>
      </c>
    </row>
    <row r="774" spans="1:10" ht="27" hidden="1" thickBot="1" x14ac:dyDescent="0.35">
      <c r="A774" s="227"/>
      <c r="B774" s="224"/>
      <c r="C774" s="36" t="s">
        <v>274</v>
      </c>
      <c r="D774" s="47" t="s">
        <v>42</v>
      </c>
      <c r="E774" s="37">
        <v>4.2599999999999999E-2</v>
      </c>
      <c r="F774" s="34">
        <v>22.61</v>
      </c>
      <c r="G774" s="31">
        <f t="shared" si="12"/>
        <v>0.96318599999999999</v>
      </c>
      <c r="H774" s="39">
        <f>SUM(G774:G781)</f>
        <v>33.171990350000002</v>
      </c>
      <c r="I774" s="40"/>
      <c r="J774" s="155">
        <v>0</v>
      </c>
    </row>
    <row r="775" spans="1:10" ht="15" hidden="1" thickBot="1" x14ac:dyDescent="0.35">
      <c r="A775" s="227"/>
      <c r="B775" s="224"/>
      <c r="C775" s="36" t="s">
        <v>282</v>
      </c>
      <c r="D775" s="47" t="s">
        <v>95</v>
      </c>
      <c r="E775" s="37">
        <v>1.0955999999999999</v>
      </c>
      <c r="F775" s="34" t="s">
        <v>560</v>
      </c>
      <c r="G775" s="31" t="str">
        <f t="shared" si="12"/>
        <v/>
      </c>
      <c r="H775" s="35"/>
      <c r="I775" s="31"/>
      <c r="J775" s="155">
        <v>0</v>
      </c>
    </row>
    <row r="776" spans="1:10" ht="27" hidden="1" thickBot="1" x14ac:dyDescent="0.35">
      <c r="A776" s="227"/>
      <c r="B776" s="224"/>
      <c r="C776" s="36" t="s">
        <v>276</v>
      </c>
      <c r="D776" s="47" t="s">
        <v>93</v>
      </c>
      <c r="E776" s="37">
        <v>3.8498999999999999</v>
      </c>
      <c r="F776" s="34">
        <v>5.3125</v>
      </c>
      <c r="G776" s="31">
        <f t="shared" si="12"/>
        <v>20.452593749999998</v>
      </c>
      <c r="H776" s="35"/>
      <c r="I776" s="31"/>
      <c r="J776" s="155">
        <v>0</v>
      </c>
    </row>
    <row r="777" spans="1:10" ht="27" hidden="1" thickBot="1" x14ac:dyDescent="0.35">
      <c r="A777" s="227"/>
      <c r="B777" s="224"/>
      <c r="C777" s="36" t="s">
        <v>277</v>
      </c>
      <c r="D777" s="47" t="s">
        <v>20</v>
      </c>
      <c r="E777" s="37">
        <v>1.3265</v>
      </c>
      <c r="F777" s="34">
        <v>1.9975000000000001</v>
      </c>
      <c r="G777" s="31">
        <f t="shared" si="12"/>
        <v>2.6496837499999999</v>
      </c>
      <c r="H777" s="35"/>
      <c r="I777" s="31"/>
      <c r="J777" s="155">
        <v>0</v>
      </c>
    </row>
    <row r="778" spans="1:10" ht="27" hidden="1" thickBot="1" x14ac:dyDescent="0.35">
      <c r="A778" s="227"/>
      <c r="B778" s="224"/>
      <c r="C778" s="36" t="s">
        <v>165</v>
      </c>
      <c r="D778" s="47" t="s">
        <v>20</v>
      </c>
      <c r="E778" s="37">
        <v>2.1911999999999998</v>
      </c>
      <c r="F778" s="34">
        <v>0.13600000000000001</v>
      </c>
      <c r="G778" s="31">
        <f t="shared" si="12"/>
        <v>0.29800320000000002</v>
      </c>
      <c r="H778" s="35"/>
      <c r="I778" s="31"/>
      <c r="J778" s="155">
        <v>0</v>
      </c>
    </row>
    <row r="779" spans="1:10" ht="15" hidden="1" thickBot="1" x14ac:dyDescent="0.35">
      <c r="A779" s="227"/>
      <c r="B779" s="224"/>
      <c r="C779" s="36" t="s">
        <v>278</v>
      </c>
      <c r="D779" s="47" t="s">
        <v>156</v>
      </c>
      <c r="E779" s="37">
        <v>1.32E-2</v>
      </c>
      <c r="F779" s="34">
        <v>15.342499999999999</v>
      </c>
      <c r="G779" s="31">
        <f t="shared" si="12"/>
        <v>0.20252099999999998</v>
      </c>
      <c r="H779" s="35"/>
      <c r="I779" s="31"/>
      <c r="J779" s="155">
        <v>0</v>
      </c>
    </row>
    <row r="780" spans="1:10" ht="27" hidden="1" thickBot="1" x14ac:dyDescent="0.35">
      <c r="A780" s="227"/>
      <c r="B780" s="224"/>
      <c r="C780" s="36" t="s">
        <v>279</v>
      </c>
      <c r="D780" s="47" t="s">
        <v>156</v>
      </c>
      <c r="E780" s="37">
        <v>3.3300000000000003E-2</v>
      </c>
      <c r="F780" s="34">
        <v>26.307499999999997</v>
      </c>
      <c r="G780" s="31">
        <f t="shared" si="12"/>
        <v>0.87603975000000001</v>
      </c>
      <c r="H780" s="35"/>
      <c r="I780" s="31"/>
      <c r="J780" s="155">
        <v>0</v>
      </c>
    </row>
    <row r="781" spans="1:10" ht="15" hidden="1" thickBot="1" x14ac:dyDescent="0.35">
      <c r="A781" s="227"/>
      <c r="B781" s="224"/>
      <c r="C781" s="36" t="s">
        <v>27</v>
      </c>
      <c r="D781" s="47" t="s">
        <v>12</v>
      </c>
      <c r="E781" s="37">
        <v>0.49940000000000001</v>
      </c>
      <c r="F781" s="31">
        <v>15.4785</v>
      </c>
      <c r="G781" s="31">
        <f t="shared" si="12"/>
        <v>7.7299629000000003</v>
      </c>
      <c r="H781" s="35"/>
      <c r="I781" s="31"/>
      <c r="J781" s="155">
        <v>0</v>
      </c>
    </row>
    <row r="782" spans="1:10" ht="15" hidden="1" thickBot="1" x14ac:dyDescent="0.35">
      <c r="A782" s="228"/>
      <c r="B782" s="225"/>
      <c r="C782" s="36"/>
      <c r="D782" s="36"/>
      <c r="E782" s="37"/>
      <c r="F782" s="31" t="s">
        <v>560</v>
      </c>
      <c r="G782" s="31" t="str">
        <f t="shared" si="12"/>
        <v/>
      </c>
      <c r="H782" s="35"/>
      <c r="I782" s="31"/>
      <c r="J782" s="155">
        <v>0</v>
      </c>
    </row>
    <row r="783" spans="1:10" ht="15" hidden="1" thickBot="1" x14ac:dyDescent="0.35">
      <c r="A783" s="226" t="s">
        <v>283</v>
      </c>
      <c r="B783" s="223" t="e">
        <f>INDEX(#REF!,MATCH(Composições!A783,#REF!,0),2)</f>
        <v>#REF!</v>
      </c>
      <c r="C783" s="41"/>
      <c r="D783" s="26" t="e">
        <f>TRIM(INDEX(#REF!,MATCH(Composições!A783,#REF!,0),1))</f>
        <v>#REF!</v>
      </c>
      <c r="E783" s="27"/>
      <c r="F783" s="42" t="s">
        <v>560</v>
      </c>
      <c r="G783" s="28" t="str">
        <f t="shared" si="12"/>
        <v/>
      </c>
      <c r="H783" s="29"/>
      <c r="I783" s="30"/>
      <c r="J783" s="155">
        <v>0</v>
      </c>
    </row>
    <row r="784" spans="1:10" ht="15" hidden="1" thickBot="1" x14ac:dyDescent="0.35">
      <c r="A784" s="227"/>
      <c r="B784" s="224"/>
      <c r="C784" s="32"/>
      <c r="D784" s="32"/>
      <c r="E784" s="33"/>
      <c r="F784" s="43" t="s">
        <v>560</v>
      </c>
      <c r="G784" s="31" t="str">
        <f t="shared" si="12"/>
        <v/>
      </c>
      <c r="H784" s="35"/>
      <c r="I784" s="31"/>
      <c r="J784" s="155">
        <v>0</v>
      </c>
    </row>
    <row r="785" spans="1:10" ht="15" hidden="1" thickBot="1" x14ac:dyDescent="0.35">
      <c r="A785" s="227"/>
      <c r="B785" s="224"/>
      <c r="C785" s="36" t="s">
        <v>52</v>
      </c>
      <c r="D785" s="47" t="s">
        <v>12</v>
      </c>
      <c r="E785" s="37">
        <v>0.5</v>
      </c>
      <c r="F785" s="34">
        <v>16.013999999999999</v>
      </c>
      <c r="G785" s="31">
        <f t="shared" si="12"/>
        <v>8.0069999999999997</v>
      </c>
      <c r="H785" s="39">
        <f>SUM(G785:G788)</f>
        <v>15.74625</v>
      </c>
      <c r="I785" s="40"/>
      <c r="J785" s="155">
        <v>0</v>
      </c>
    </row>
    <row r="786" spans="1:10" ht="15" hidden="1" thickBot="1" x14ac:dyDescent="0.35">
      <c r="A786" s="227"/>
      <c r="B786" s="224"/>
      <c r="C786" s="36" t="s">
        <v>27</v>
      </c>
      <c r="D786" s="47" t="s">
        <v>12</v>
      </c>
      <c r="E786" s="37">
        <v>0.5</v>
      </c>
      <c r="F786" s="34">
        <v>15.4785</v>
      </c>
      <c r="G786" s="31">
        <f t="shared" ref="G786:G849" si="13">IF(ISNUMBER(F786),E786*F786,"")</f>
        <v>7.7392500000000002</v>
      </c>
      <c r="H786" s="35"/>
      <c r="I786" s="31"/>
      <c r="J786" s="155">
        <v>0</v>
      </c>
    </row>
    <row r="787" spans="1:10" ht="15" hidden="1" thickBot="1" x14ac:dyDescent="0.35">
      <c r="A787" s="227"/>
      <c r="B787" s="224"/>
      <c r="C787" s="38" t="s">
        <v>284</v>
      </c>
      <c r="D787" s="36" t="s">
        <v>95</v>
      </c>
      <c r="E787" s="37">
        <v>1</v>
      </c>
      <c r="F787" s="34" t="s">
        <v>560</v>
      </c>
      <c r="G787" s="31" t="str">
        <f t="shared" si="13"/>
        <v/>
      </c>
      <c r="H787" s="35"/>
      <c r="I787" s="31"/>
      <c r="J787" s="155">
        <v>0</v>
      </c>
    </row>
    <row r="788" spans="1:10" ht="15" hidden="1" thickBot="1" x14ac:dyDescent="0.35">
      <c r="A788" s="227"/>
      <c r="B788" s="224"/>
      <c r="C788" s="38" t="s">
        <v>285</v>
      </c>
      <c r="D788" s="36" t="s">
        <v>95</v>
      </c>
      <c r="E788" s="37">
        <v>1</v>
      </c>
      <c r="F788" s="34" t="s">
        <v>560</v>
      </c>
      <c r="G788" s="31" t="str">
        <f t="shared" si="13"/>
        <v/>
      </c>
      <c r="H788" s="35"/>
      <c r="I788" s="31"/>
      <c r="J788" s="155">
        <v>0</v>
      </c>
    </row>
    <row r="789" spans="1:10" ht="15" hidden="1" thickBot="1" x14ac:dyDescent="0.35">
      <c r="A789" s="228"/>
      <c r="B789" s="225"/>
      <c r="C789" s="36"/>
      <c r="D789" s="36"/>
      <c r="E789" s="37"/>
      <c r="F789" s="31" t="s">
        <v>560</v>
      </c>
      <c r="G789" s="31" t="str">
        <f t="shared" si="13"/>
        <v/>
      </c>
      <c r="H789" s="35"/>
      <c r="I789" s="31"/>
      <c r="J789" s="155">
        <v>0</v>
      </c>
    </row>
    <row r="790" spans="1:10" ht="15" hidden="1" thickBot="1" x14ac:dyDescent="0.35">
      <c r="A790" s="226" t="s">
        <v>286</v>
      </c>
      <c r="B790" s="223" t="e">
        <f>INDEX(#REF!,MATCH(Composições!A790,#REF!,0),2)</f>
        <v>#REF!</v>
      </c>
      <c r="C790" s="41"/>
      <c r="D790" s="26" t="e">
        <f>TRIM(INDEX(#REF!,MATCH(Composições!A790,#REF!,0),1))</f>
        <v>#REF!</v>
      </c>
      <c r="E790" s="27"/>
      <c r="F790" s="42" t="s">
        <v>560</v>
      </c>
      <c r="G790" s="28" t="str">
        <f t="shared" si="13"/>
        <v/>
      </c>
      <c r="H790" s="29"/>
      <c r="I790" s="30"/>
      <c r="J790" s="155">
        <v>0</v>
      </c>
    </row>
    <row r="791" spans="1:10" ht="15" hidden="1" thickBot="1" x14ac:dyDescent="0.35">
      <c r="A791" s="229"/>
      <c r="B791" s="224"/>
      <c r="C791" s="32"/>
      <c r="D791" s="32"/>
      <c r="E791" s="33"/>
      <c r="F791" s="43" t="s">
        <v>560</v>
      </c>
      <c r="G791" s="31" t="str">
        <f t="shared" si="13"/>
        <v/>
      </c>
      <c r="H791" s="35"/>
      <c r="I791" s="31"/>
      <c r="J791" s="155">
        <v>0</v>
      </c>
    </row>
    <row r="792" spans="1:10" ht="27" hidden="1" thickBot="1" x14ac:dyDescent="0.35">
      <c r="A792" s="229"/>
      <c r="B792" s="224"/>
      <c r="C792" s="36" t="s">
        <v>274</v>
      </c>
      <c r="D792" s="47" t="s">
        <v>42</v>
      </c>
      <c r="E792" s="37">
        <v>4.2599999999999999E-2</v>
      </c>
      <c r="F792" s="34">
        <v>22.61</v>
      </c>
      <c r="G792" s="34">
        <f t="shared" si="13"/>
        <v>0.96318599999999999</v>
      </c>
      <c r="H792" s="39">
        <f>SUM(G792:G802)</f>
        <v>52.326654500000004</v>
      </c>
      <c r="I792" s="40"/>
      <c r="J792" s="155">
        <v>0</v>
      </c>
    </row>
    <row r="793" spans="1:10" ht="27" hidden="1" thickBot="1" x14ac:dyDescent="0.35">
      <c r="A793" s="229"/>
      <c r="B793" s="224"/>
      <c r="C793" s="36" t="s">
        <v>2032</v>
      </c>
      <c r="D793" s="47" t="s">
        <v>95</v>
      </c>
      <c r="E793" s="37">
        <v>1.0966</v>
      </c>
      <c r="F793" s="34">
        <v>11.5345</v>
      </c>
      <c r="G793" s="34">
        <f t="shared" si="13"/>
        <v>12.6487327</v>
      </c>
      <c r="H793" s="45"/>
      <c r="I793" s="46"/>
      <c r="J793" s="155">
        <v>0</v>
      </c>
    </row>
    <row r="794" spans="1:10" ht="27" hidden="1" thickBot="1" x14ac:dyDescent="0.35">
      <c r="A794" s="229"/>
      <c r="B794" s="224"/>
      <c r="C794" s="36" t="s">
        <v>276</v>
      </c>
      <c r="D794" s="47" t="s">
        <v>93</v>
      </c>
      <c r="E794" s="37">
        <v>3.851</v>
      </c>
      <c r="F794" s="34">
        <v>5.3125</v>
      </c>
      <c r="G794" s="34">
        <f t="shared" si="13"/>
        <v>20.458437499999999</v>
      </c>
      <c r="H794" s="45"/>
      <c r="I794" s="46"/>
      <c r="J794" s="155">
        <v>0</v>
      </c>
    </row>
    <row r="795" spans="1:10" ht="27" hidden="1" thickBot="1" x14ac:dyDescent="0.35">
      <c r="A795" s="229"/>
      <c r="B795" s="224"/>
      <c r="C795" s="36" t="s">
        <v>277</v>
      </c>
      <c r="D795" s="47" t="s">
        <v>20</v>
      </c>
      <c r="E795" s="37">
        <v>1.3265</v>
      </c>
      <c r="F795" s="34">
        <v>1.9975000000000001</v>
      </c>
      <c r="G795" s="34">
        <f t="shared" si="13"/>
        <v>2.6496837499999999</v>
      </c>
      <c r="H795" s="45"/>
      <c r="I795" s="46"/>
      <c r="J795" s="155">
        <v>0</v>
      </c>
    </row>
    <row r="796" spans="1:10" ht="27" hidden="1" thickBot="1" x14ac:dyDescent="0.35">
      <c r="A796" s="229"/>
      <c r="B796" s="224"/>
      <c r="C796" s="36" t="s">
        <v>163</v>
      </c>
      <c r="D796" s="47" t="s">
        <v>93</v>
      </c>
      <c r="E796" s="37">
        <v>1.4395</v>
      </c>
      <c r="F796" s="34">
        <v>1.7084999999999997</v>
      </c>
      <c r="G796" s="34">
        <f t="shared" si="13"/>
        <v>2.4593857499999996</v>
      </c>
      <c r="H796" s="45"/>
      <c r="I796" s="46"/>
      <c r="J796" s="155">
        <v>0</v>
      </c>
    </row>
    <row r="797" spans="1:10" ht="40.200000000000003" hidden="1" thickBot="1" x14ac:dyDescent="0.35">
      <c r="A797" s="229"/>
      <c r="B797" s="224"/>
      <c r="C797" s="36" t="s">
        <v>2029</v>
      </c>
      <c r="D797" s="47" t="s">
        <v>42</v>
      </c>
      <c r="E797" s="37">
        <v>0.5202</v>
      </c>
      <c r="F797" s="34">
        <v>2.2949999999999999</v>
      </c>
      <c r="G797" s="34">
        <f t="shared" si="13"/>
        <v>1.193859</v>
      </c>
      <c r="H797" s="45"/>
      <c r="I797" s="46"/>
      <c r="J797" s="155">
        <v>0</v>
      </c>
    </row>
    <row r="798" spans="1:10" ht="27" hidden="1" thickBot="1" x14ac:dyDescent="0.35">
      <c r="A798" s="229"/>
      <c r="B798" s="224"/>
      <c r="C798" s="36" t="s">
        <v>164</v>
      </c>
      <c r="D798" s="47" t="s">
        <v>20</v>
      </c>
      <c r="E798" s="37">
        <v>7.9740000000000002</v>
      </c>
      <c r="F798" s="34">
        <v>5.0999999999999997E-2</v>
      </c>
      <c r="G798" s="34">
        <f t="shared" si="13"/>
        <v>0.40667399999999998</v>
      </c>
      <c r="H798" s="45"/>
      <c r="I798" s="46"/>
      <c r="J798" s="155">
        <v>0</v>
      </c>
    </row>
    <row r="799" spans="1:10" ht="27" hidden="1" thickBot="1" x14ac:dyDescent="0.35">
      <c r="A799" s="229"/>
      <c r="B799" s="224"/>
      <c r="C799" s="36" t="s">
        <v>165</v>
      </c>
      <c r="D799" s="47" t="s">
        <v>20</v>
      </c>
      <c r="E799" s="37">
        <v>2.1911999999999998</v>
      </c>
      <c r="F799" s="34">
        <v>0.13600000000000001</v>
      </c>
      <c r="G799" s="34">
        <f t="shared" si="13"/>
        <v>0.29800320000000002</v>
      </c>
      <c r="H799" s="45"/>
      <c r="I799" s="46"/>
      <c r="J799" s="155">
        <v>0</v>
      </c>
    </row>
    <row r="800" spans="1:10" ht="15" hidden="1" thickBot="1" x14ac:dyDescent="0.35">
      <c r="A800" s="229"/>
      <c r="B800" s="224"/>
      <c r="C800" s="36" t="s">
        <v>278</v>
      </c>
      <c r="D800" s="47" t="s">
        <v>156</v>
      </c>
      <c r="E800" s="37">
        <v>1.32E-2</v>
      </c>
      <c r="F800" s="34">
        <v>15.342499999999999</v>
      </c>
      <c r="G800" s="34">
        <f t="shared" si="13"/>
        <v>0.20252099999999998</v>
      </c>
      <c r="H800" s="45"/>
      <c r="I800" s="46"/>
      <c r="J800" s="155">
        <v>0</v>
      </c>
    </row>
    <row r="801" spans="1:10" ht="15" hidden="1" thickBot="1" x14ac:dyDescent="0.35">
      <c r="A801" s="229"/>
      <c r="B801" s="224"/>
      <c r="C801" s="36" t="s">
        <v>27</v>
      </c>
      <c r="D801" s="47" t="s">
        <v>12</v>
      </c>
      <c r="E801" s="37">
        <v>0.36280000000000001</v>
      </c>
      <c r="F801" s="31">
        <v>15.4785</v>
      </c>
      <c r="G801" s="34">
        <f t="shared" si="13"/>
        <v>5.6155998</v>
      </c>
      <c r="H801" s="45"/>
      <c r="I801" s="46"/>
      <c r="J801" s="155">
        <v>0</v>
      </c>
    </row>
    <row r="802" spans="1:10" ht="15" hidden="1" thickBot="1" x14ac:dyDescent="0.35">
      <c r="A802" s="229"/>
      <c r="B802" s="224"/>
      <c r="C802" s="36" t="s">
        <v>23</v>
      </c>
      <c r="D802" s="36" t="s">
        <v>12</v>
      </c>
      <c r="E802" s="37">
        <v>0.36280000000000001</v>
      </c>
      <c r="F802" s="31">
        <v>14.968499999999999</v>
      </c>
      <c r="G802" s="34">
        <f t="shared" si="13"/>
        <v>5.4305718000000001</v>
      </c>
      <c r="H802" s="45"/>
      <c r="I802" s="46"/>
      <c r="J802" s="155">
        <v>0</v>
      </c>
    </row>
    <row r="803" spans="1:10" ht="15" hidden="1" thickBot="1" x14ac:dyDescent="0.35">
      <c r="A803" s="230"/>
      <c r="B803" s="225"/>
      <c r="C803" s="36"/>
      <c r="D803" s="36"/>
      <c r="E803" s="37"/>
      <c r="F803" s="31" t="s">
        <v>560</v>
      </c>
      <c r="G803" s="31" t="str">
        <f t="shared" si="13"/>
        <v/>
      </c>
      <c r="H803" s="35"/>
      <c r="I803" s="31"/>
      <c r="J803" s="155">
        <v>0</v>
      </c>
    </row>
    <row r="804" spans="1:10" ht="15" hidden="1" thickBot="1" x14ac:dyDescent="0.35">
      <c r="A804" s="226" t="s">
        <v>287</v>
      </c>
      <c r="B804" s="223" t="e">
        <f>INDEX(#REF!,MATCH(Composições!A804,#REF!,0),2)</f>
        <v>#REF!</v>
      </c>
      <c r="C804" s="41"/>
      <c r="D804" s="26" t="e">
        <f>TRIM(INDEX(#REF!,MATCH(Composições!A804,#REF!,0),1))</f>
        <v>#REF!</v>
      </c>
      <c r="E804" s="27"/>
      <c r="F804" s="42" t="s">
        <v>560</v>
      </c>
      <c r="G804" s="28" t="str">
        <f t="shared" si="13"/>
        <v/>
      </c>
      <c r="H804" s="29"/>
      <c r="I804" s="30"/>
      <c r="J804" s="155">
        <v>0</v>
      </c>
    </row>
    <row r="805" spans="1:10" ht="15" hidden="1" thickBot="1" x14ac:dyDescent="0.35">
      <c r="A805" s="229"/>
      <c r="B805" s="224"/>
      <c r="C805" s="32"/>
      <c r="D805" s="32"/>
      <c r="E805" s="33"/>
      <c r="F805" s="43" t="s">
        <v>560</v>
      </c>
      <c r="G805" s="31" t="str">
        <f t="shared" si="13"/>
        <v/>
      </c>
      <c r="H805" s="35"/>
      <c r="I805" s="31"/>
      <c r="J805" s="155">
        <v>0</v>
      </c>
    </row>
    <row r="806" spans="1:10" ht="27" hidden="1" thickBot="1" x14ac:dyDescent="0.35">
      <c r="A806" s="229"/>
      <c r="B806" s="224"/>
      <c r="C806" s="36" t="s">
        <v>2032</v>
      </c>
      <c r="D806" s="47" t="s">
        <v>95</v>
      </c>
      <c r="E806" s="37">
        <v>1.0966</v>
      </c>
      <c r="F806" s="34">
        <v>11.5345</v>
      </c>
      <c r="G806" s="34">
        <f t="shared" si="13"/>
        <v>12.6487327</v>
      </c>
      <c r="H806" s="39">
        <f>SUM(G806:G812)</f>
        <v>28.052826249999999</v>
      </c>
      <c r="I806" s="40"/>
      <c r="J806" s="155">
        <v>0</v>
      </c>
    </row>
    <row r="807" spans="1:10" ht="27" hidden="1" thickBot="1" x14ac:dyDescent="0.35">
      <c r="A807" s="229"/>
      <c r="B807" s="224"/>
      <c r="C807" s="36" t="s">
        <v>163</v>
      </c>
      <c r="D807" s="47" t="s">
        <v>93</v>
      </c>
      <c r="E807" s="37">
        <v>1.4395</v>
      </c>
      <c r="F807" s="34">
        <v>1.7084999999999997</v>
      </c>
      <c r="G807" s="34">
        <f t="shared" si="13"/>
        <v>2.4593857499999996</v>
      </c>
      <c r="H807" s="45"/>
      <c r="I807" s="46"/>
      <c r="J807" s="155">
        <v>0</v>
      </c>
    </row>
    <row r="808" spans="1:10" ht="40.200000000000003" hidden="1" thickBot="1" x14ac:dyDescent="0.35">
      <c r="A808" s="229"/>
      <c r="B808" s="224"/>
      <c r="C808" s="36" t="s">
        <v>2029</v>
      </c>
      <c r="D808" s="47" t="s">
        <v>42</v>
      </c>
      <c r="E808" s="37">
        <v>0.5202</v>
      </c>
      <c r="F808" s="34">
        <v>2.2949999999999999</v>
      </c>
      <c r="G808" s="34">
        <f t="shared" si="13"/>
        <v>1.193859</v>
      </c>
      <c r="H808" s="45"/>
      <c r="I808" s="46"/>
      <c r="J808" s="155">
        <v>0</v>
      </c>
    </row>
    <row r="809" spans="1:10" ht="27" hidden="1" thickBot="1" x14ac:dyDescent="0.35">
      <c r="A809" s="229"/>
      <c r="B809" s="224"/>
      <c r="C809" s="36" t="s">
        <v>164</v>
      </c>
      <c r="D809" s="47" t="s">
        <v>20</v>
      </c>
      <c r="E809" s="37">
        <v>7.9740000000000002</v>
      </c>
      <c r="F809" s="34">
        <v>5.0999999999999997E-2</v>
      </c>
      <c r="G809" s="34">
        <f t="shared" si="13"/>
        <v>0.40667399999999998</v>
      </c>
      <c r="H809" s="45"/>
      <c r="I809" s="46"/>
      <c r="J809" s="155">
        <v>0</v>
      </c>
    </row>
    <row r="810" spans="1:10" ht="27" hidden="1" thickBot="1" x14ac:dyDescent="0.35">
      <c r="A810" s="229"/>
      <c r="B810" s="224"/>
      <c r="C810" s="36" t="s">
        <v>165</v>
      </c>
      <c r="D810" s="47" t="s">
        <v>20</v>
      </c>
      <c r="E810" s="37">
        <v>2.1911999999999998</v>
      </c>
      <c r="F810" s="34">
        <v>0.13600000000000001</v>
      </c>
      <c r="G810" s="34">
        <f t="shared" si="13"/>
        <v>0.29800320000000002</v>
      </c>
      <c r="H810" s="45"/>
      <c r="I810" s="46"/>
      <c r="J810" s="155">
        <v>0</v>
      </c>
    </row>
    <row r="811" spans="1:10" ht="15" hidden="1" thickBot="1" x14ac:dyDescent="0.35">
      <c r="A811" s="229"/>
      <c r="B811" s="224"/>
      <c r="C811" s="36" t="s">
        <v>27</v>
      </c>
      <c r="D811" s="47" t="s">
        <v>12</v>
      </c>
      <c r="E811" s="37">
        <v>0.36280000000000001</v>
      </c>
      <c r="F811" s="31">
        <v>15.4785</v>
      </c>
      <c r="G811" s="34">
        <f t="shared" si="13"/>
        <v>5.6155998</v>
      </c>
      <c r="H811" s="45"/>
      <c r="I811" s="46"/>
      <c r="J811" s="155">
        <v>0</v>
      </c>
    </row>
    <row r="812" spans="1:10" ht="15" hidden="1" thickBot="1" x14ac:dyDescent="0.35">
      <c r="A812" s="229"/>
      <c r="B812" s="224"/>
      <c r="C812" s="36" t="s">
        <v>23</v>
      </c>
      <c r="D812" s="36" t="s">
        <v>12</v>
      </c>
      <c r="E812" s="37">
        <v>0.36280000000000001</v>
      </c>
      <c r="F812" s="31">
        <v>14.968499999999999</v>
      </c>
      <c r="G812" s="34">
        <f t="shared" si="13"/>
        <v>5.4305718000000001</v>
      </c>
      <c r="H812" s="45"/>
      <c r="I812" s="46"/>
      <c r="J812" s="155">
        <v>0</v>
      </c>
    </row>
    <row r="813" spans="1:10" ht="15" hidden="1" thickBot="1" x14ac:dyDescent="0.35">
      <c r="A813" s="230"/>
      <c r="B813" s="225"/>
      <c r="C813" s="36"/>
      <c r="D813" s="36"/>
      <c r="E813" s="37"/>
      <c r="F813" s="31" t="s">
        <v>560</v>
      </c>
      <c r="G813" s="31" t="str">
        <f t="shared" si="13"/>
        <v/>
      </c>
      <c r="H813" s="35"/>
      <c r="I813" s="31"/>
      <c r="J813" s="155">
        <v>0</v>
      </c>
    </row>
    <row r="814" spans="1:10" ht="15" hidden="1" thickBot="1" x14ac:dyDescent="0.35">
      <c r="A814" s="226" t="s">
        <v>288</v>
      </c>
      <c r="B814" s="223" t="e">
        <f>INDEX(#REF!,MATCH(Composições!A814,#REF!,0),2)</f>
        <v>#REF!</v>
      </c>
      <c r="C814" s="41"/>
      <c r="D814" s="26" t="e">
        <f>TRIM(INDEX(#REF!,MATCH(Composições!A814,#REF!,0),1))</f>
        <v>#REF!</v>
      </c>
      <c r="E814" s="27"/>
      <c r="F814" s="42" t="s">
        <v>560</v>
      </c>
      <c r="G814" s="28" t="str">
        <f t="shared" si="13"/>
        <v/>
      </c>
      <c r="H814" s="29"/>
      <c r="I814" s="30"/>
      <c r="J814" s="155">
        <v>0</v>
      </c>
    </row>
    <row r="815" spans="1:10" ht="15" hidden="1" thickBot="1" x14ac:dyDescent="0.35">
      <c r="A815" s="229"/>
      <c r="B815" s="224"/>
      <c r="C815" s="32"/>
      <c r="D815" s="32"/>
      <c r="E815" s="33"/>
      <c r="F815" s="43" t="s">
        <v>560</v>
      </c>
      <c r="G815" s="31" t="str">
        <f t="shared" si="13"/>
        <v/>
      </c>
      <c r="H815" s="35"/>
      <c r="I815" s="31"/>
      <c r="J815" s="155">
        <v>0</v>
      </c>
    </row>
    <row r="816" spans="1:10" ht="40.200000000000003" hidden="1" thickBot="1" x14ac:dyDescent="0.35">
      <c r="A816" s="229"/>
      <c r="B816" s="224"/>
      <c r="C816" s="36" t="s">
        <v>289</v>
      </c>
      <c r="D816" s="47" t="s">
        <v>95</v>
      </c>
      <c r="E816" s="37">
        <v>1</v>
      </c>
      <c r="F816" s="34">
        <v>107.4485</v>
      </c>
      <c r="G816" s="34">
        <f t="shared" si="13"/>
        <v>107.4485</v>
      </c>
      <c r="H816" s="39">
        <f>SUM(G816:G816)</f>
        <v>107.4485</v>
      </c>
      <c r="I816" s="40"/>
      <c r="J816" s="155">
        <v>0</v>
      </c>
    </row>
    <row r="817" spans="1:10" ht="15" hidden="1" thickBot="1" x14ac:dyDescent="0.35">
      <c r="A817" s="230"/>
      <c r="B817" s="225"/>
      <c r="C817" s="36"/>
      <c r="D817" s="36"/>
      <c r="E817" s="37"/>
      <c r="F817" s="31" t="s">
        <v>560</v>
      </c>
      <c r="G817" s="31" t="str">
        <f t="shared" si="13"/>
        <v/>
      </c>
      <c r="H817" s="35"/>
      <c r="I817" s="31"/>
      <c r="J817" s="155">
        <v>0</v>
      </c>
    </row>
    <row r="818" spans="1:10" ht="15" hidden="1" thickBot="1" x14ac:dyDescent="0.35">
      <c r="A818" s="226" t="s">
        <v>290</v>
      </c>
      <c r="B818" s="223" t="e">
        <f>INDEX(#REF!,MATCH(Composições!A818,#REF!,0),2)</f>
        <v>#REF!</v>
      </c>
      <c r="C818" s="41"/>
      <c r="D818" s="26" t="e">
        <f>TRIM(INDEX(#REF!,MATCH(Composições!A818,#REF!,0),1))</f>
        <v>#REF!</v>
      </c>
      <c r="E818" s="27"/>
      <c r="F818" s="42" t="s">
        <v>560</v>
      </c>
      <c r="G818" s="28" t="str">
        <f t="shared" si="13"/>
        <v/>
      </c>
      <c r="H818" s="29"/>
      <c r="I818" s="30"/>
      <c r="J818" s="155">
        <v>0</v>
      </c>
    </row>
    <row r="819" spans="1:10" ht="15" hidden="1" thickBot="1" x14ac:dyDescent="0.35">
      <c r="A819" s="229"/>
      <c r="B819" s="224"/>
      <c r="C819" s="32"/>
      <c r="D819" s="32"/>
      <c r="E819" s="33"/>
      <c r="F819" s="43" t="s">
        <v>560</v>
      </c>
      <c r="G819" s="31" t="str">
        <f t="shared" si="13"/>
        <v/>
      </c>
      <c r="H819" s="35"/>
      <c r="I819" s="31"/>
      <c r="J819" s="155">
        <v>0</v>
      </c>
    </row>
    <row r="820" spans="1:10" ht="15" hidden="1" thickBot="1" x14ac:dyDescent="0.35">
      <c r="A820" s="229"/>
      <c r="B820" s="224"/>
      <c r="C820" s="36" t="s">
        <v>50</v>
      </c>
      <c r="D820" s="36" t="s">
        <v>12</v>
      </c>
      <c r="E820" s="37">
        <f>1.2/4</f>
        <v>0.3</v>
      </c>
      <c r="F820" s="31">
        <v>17.815999999999999</v>
      </c>
      <c r="G820" s="31">
        <f t="shared" si="13"/>
        <v>5.3447999999999993</v>
      </c>
      <c r="H820" s="39">
        <f>SUM(G820:G821)</f>
        <v>29.280799999999999</v>
      </c>
      <c r="I820" s="40"/>
      <c r="J820" s="155">
        <v>0</v>
      </c>
    </row>
    <row r="821" spans="1:10" ht="27" hidden="1" thickBot="1" x14ac:dyDescent="0.35">
      <c r="A821" s="229"/>
      <c r="B821" s="224"/>
      <c r="C821" s="36" t="s">
        <v>291</v>
      </c>
      <c r="D821" s="36" t="s">
        <v>292</v>
      </c>
      <c r="E821" s="37">
        <v>1</v>
      </c>
      <c r="F821" s="34">
        <v>23.936</v>
      </c>
      <c r="G821" s="31">
        <f t="shared" si="13"/>
        <v>23.936</v>
      </c>
      <c r="H821" s="35"/>
      <c r="I821" s="31"/>
      <c r="J821" s="155">
        <v>0</v>
      </c>
    </row>
    <row r="822" spans="1:10" ht="15" hidden="1" thickBot="1" x14ac:dyDescent="0.35">
      <c r="A822" s="230"/>
      <c r="B822" s="225"/>
      <c r="C822" s="36"/>
      <c r="D822" s="36"/>
      <c r="E822" s="37"/>
      <c r="F822" s="31" t="s">
        <v>560</v>
      </c>
      <c r="G822" s="31" t="str">
        <f t="shared" si="13"/>
        <v/>
      </c>
      <c r="H822" s="35"/>
      <c r="I822" s="31"/>
      <c r="J822" s="155">
        <v>0</v>
      </c>
    </row>
    <row r="823" spans="1:10" ht="15" hidden="1" thickBot="1" x14ac:dyDescent="0.35">
      <c r="A823" s="226" t="s">
        <v>293</v>
      </c>
      <c r="B823" s="223" t="e">
        <f>INDEX(#REF!,MATCH(Composições!A823,#REF!,0),2)</f>
        <v>#REF!</v>
      </c>
      <c r="C823" s="41"/>
      <c r="D823" s="26" t="e">
        <f>TRIM(INDEX(#REF!,MATCH(Composições!A823,#REF!,0),1))</f>
        <v>#REF!</v>
      </c>
      <c r="E823" s="27"/>
      <c r="F823" s="42" t="s">
        <v>560</v>
      </c>
      <c r="G823" s="28" t="str">
        <f t="shared" si="13"/>
        <v/>
      </c>
      <c r="H823" s="29"/>
      <c r="I823" s="30"/>
      <c r="J823" s="155">
        <v>0</v>
      </c>
    </row>
    <row r="824" spans="1:10" ht="15" hidden="1" thickBot="1" x14ac:dyDescent="0.35">
      <c r="A824" s="229"/>
      <c r="B824" s="224"/>
      <c r="C824" s="32"/>
      <c r="D824" s="32"/>
      <c r="E824" s="33"/>
      <c r="F824" s="43" t="s">
        <v>560</v>
      </c>
      <c r="G824" s="31" t="str">
        <f t="shared" si="13"/>
        <v/>
      </c>
      <c r="H824" s="35"/>
      <c r="I824" s="31"/>
      <c r="J824" s="155">
        <v>0</v>
      </c>
    </row>
    <row r="825" spans="1:10" ht="15" hidden="1" thickBot="1" x14ac:dyDescent="0.35">
      <c r="A825" s="229"/>
      <c r="B825" s="224"/>
      <c r="C825" s="36" t="s">
        <v>27</v>
      </c>
      <c r="D825" s="47" t="s">
        <v>12</v>
      </c>
      <c r="E825" s="37">
        <f>ROUND(0.4994*0.3,4)</f>
        <v>0.14979999999999999</v>
      </c>
      <c r="F825" s="31">
        <v>15.4785</v>
      </c>
      <c r="G825" s="31">
        <f t="shared" si="13"/>
        <v>2.3186792999999999</v>
      </c>
      <c r="H825" s="39">
        <f>SUM(G825:G825)</f>
        <v>2.3186792999999999</v>
      </c>
      <c r="I825" s="40"/>
      <c r="J825" s="155">
        <v>0</v>
      </c>
    </row>
    <row r="826" spans="1:10" ht="15" hidden="1" thickBot="1" x14ac:dyDescent="0.35">
      <c r="A826" s="230"/>
      <c r="B826" s="225"/>
      <c r="C826" s="36"/>
      <c r="D826" s="36"/>
      <c r="E826" s="37"/>
      <c r="F826" s="31" t="s">
        <v>560</v>
      </c>
      <c r="G826" s="31" t="str">
        <f t="shared" si="13"/>
        <v/>
      </c>
      <c r="H826" s="35"/>
      <c r="I826" s="31"/>
      <c r="J826" s="155">
        <v>0</v>
      </c>
    </row>
    <row r="827" spans="1:10" ht="15" hidden="1" thickBot="1" x14ac:dyDescent="0.35">
      <c r="A827" s="226" t="s">
        <v>294</v>
      </c>
      <c r="B827" s="223" t="e">
        <f>INDEX(#REF!,MATCH(Composições!A827,#REF!,0),2)</f>
        <v>#REF!</v>
      </c>
      <c r="C827" s="41"/>
      <c r="D827" s="26" t="e">
        <f>TRIM(INDEX(#REF!,MATCH(Composições!A827,#REF!,0),1))</f>
        <v>#REF!</v>
      </c>
      <c r="E827" s="27"/>
      <c r="F827" s="42" t="s">
        <v>560</v>
      </c>
      <c r="G827" s="28" t="str">
        <f t="shared" si="13"/>
        <v/>
      </c>
      <c r="H827" s="29"/>
      <c r="I827" s="30"/>
      <c r="J827" s="155">
        <v>0</v>
      </c>
    </row>
    <row r="828" spans="1:10" ht="15" hidden="1" thickBot="1" x14ac:dyDescent="0.35">
      <c r="A828" s="229"/>
      <c r="B828" s="224"/>
      <c r="C828" s="32"/>
      <c r="D828" s="32"/>
      <c r="E828" s="33"/>
      <c r="F828" s="43" t="s">
        <v>560</v>
      </c>
      <c r="G828" s="31" t="str">
        <f t="shared" si="13"/>
        <v/>
      </c>
      <c r="H828" s="35"/>
      <c r="I828" s="31"/>
      <c r="J828" s="155">
        <v>0</v>
      </c>
    </row>
    <row r="829" spans="1:10" ht="15" hidden="1" thickBot="1" x14ac:dyDescent="0.35">
      <c r="A829" s="229"/>
      <c r="B829" s="224"/>
      <c r="C829" s="36" t="s">
        <v>50</v>
      </c>
      <c r="D829" s="47" t="s">
        <v>12</v>
      </c>
      <c r="E829" s="37">
        <v>1.2</v>
      </c>
      <c r="F829" s="31">
        <v>17.815999999999999</v>
      </c>
      <c r="G829" s="31">
        <f t="shared" si="13"/>
        <v>21.379199999999997</v>
      </c>
      <c r="H829" s="39">
        <f>SUM(G829:G830)</f>
        <v>39.953400000000002</v>
      </c>
      <c r="I829" s="40"/>
      <c r="J829" s="155">
        <v>0</v>
      </c>
    </row>
    <row r="830" spans="1:10" ht="15" hidden="1" thickBot="1" x14ac:dyDescent="0.35">
      <c r="A830" s="229"/>
      <c r="B830" s="224"/>
      <c r="C830" s="36" t="s">
        <v>27</v>
      </c>
      <c r="D830" s="47" t="s">
        <v>12</v>
      </c>
      <c r="E830" s="37">
        <v>1.2</v>
      </c>
      <c r="F830" s="31">
        <v>15.4785</v>
      </c>
      <c r="G830" s="31">
        <f t="shared" si="13"/>
        <v>18.574200000000001</v>
      </c>
      <c r="H830" s="35"/>
      <c r="I830" s="31"/>
      <c r="J830" s="155">
        <v>0</v>
      </c>
    </row>
    <row r="831" spans="1:10" ht="15" hidden="1" thickBot="1" x14ac:dyDescent="0.35">
      <c r="A831" s="230"/>
      <c r="B831" s="225"/>
      <c r="C831" s="36"/>
      <c r="D831" s="36"/>
      <c r="E831" s="37"/>
      <c r="F831" s="31" t="s">
        <v>560</v>
      </c>
      <c r="G831" s="31" t="str">
        <f t="shared" si="13"/>
        <v/>
      </c>
      <c r="H831" s="35"/>
      <c r="I831" s="31"/>
      <c r="J831" s="155">
        <v>0</v>
      </c>
    </row>
    <row r="832" spans="1:10" ht="15" hidden="1" thickBot="1" x14ac:dyDescent="0.35">
      <c r="A832" s="226" t="s">
        <v>295</v>
      </c>
      <c r="B832" s="223" t="e">
        <f>INDEX(#REF!,MATCH(Composições!A832,#REF!,0),2)</f>
        <v>#REF!</v>
      </c>
      <c r="C832" s="41"/>
      <c r="D832" s="26" t="e">
        <f>TRIM(INDEX(#REF!,MATCH(Composições!A832,#REF!,0),1))</f>
        <v>#REF!</v>
      </c>
      <c r="E832" s="27"/>
      <c r="F832" s="42" t="s">
        <v>560</v>
      </c>
      <c r="G832" s="28" t="str">
        <f t="shared" si="13"/>
        <v/>
      </c>
      <c r="H832" s="29"/>
      <c r="I832" s="30"/>
      <c r="J832" s="155">
        <v>0</v>
      </c>
    </row>
    <row r="833" spans="1:10" ht="15" hidden="1" thickBot="1" x14ac:dyDescent="0.35">
      <c r="A833" s="229"/>
      <c r="B833" s="224"/>
      <c r="C833" s="32"/>
      <c r="D833" s="32"/>
      <c r="E833" s="33"/>
      <c r="F833" s="43" t="s">
        <v>560</v>
      </c>
      <c r="G833" s="31" t="str">
        <f t="shared" si="13"/>
        <v/>
      </c>
      <c r="H833" s="35"/>
      <c r="I833" s="31"/>
      <c r="J833" s="155">
        <v>0</v>
      </c>
    </row>
    <row r="834" spans="1:10" ht="27" hidden="1" thickBot="1" x14ac:dyDescent="0.35">
      <c r="A834" s="229"/>
      <c r="B834" s="224"/>
      <c r="C834" s="36" t="s">
        <v>296</v>
      </c>
      <c r="D834" s="36" t="s">
        <v>93</v>
      </c>
      <c r="E834" s="37">
        <v>1.1512</v>
      </c>
      <c r="F834" s="34">
        <v>5.1509999999999998</v>
      </c>
      <c r="G834" s="34">
        <f t="shared" si="13"/>
        <v>5.9298311999999997</v>
      </c>
      <c r="H834" s="39">
        <f>SUM(G834:G837)</f>
        <v>10.251835549999999</v>
      </c>
      <c r="I834" s="40"/>
      <c r="J834" s="155">
        <v>0</v>
      </c>
    </row>
    <row r="835" spans="1:10" ht="27" hidden="1" thickBot="1" x14ac:dyDescent="0.35">
      <c r="A835" s="229"/>
      <c r="B835" s="224"/>
      <c r="C835" s="36" t="s">
        <v>165</v>
      </c>
      <c r="D835" s="36" t="s">
        <v>20</v>
      </c>
      <c r="E835" s="37">
        <v>0.58330000000000004</v>
      </c>
      <c r="F835" s="34">
        <v>0.13600000000000001</v>
      </c>
      <c r="G835" s="34">
        <f t="shared" si="13"/>
        <v>7.9328800000000005E-2</v>
      </c>
      <c r="H835" s="56"/>
      <c r="I835" s="57"/>
      <c r="J835" s="155">
        <v>0</v>
      </c>
    </row>
    <row r="836" spans="1:10" ht="27" hidden="1" thickBot="1" x14ac:dyDescent="0.35">
      <c r="A836" s="229"/>
      <c r="B836" s="224"/>
      <c r="C836" s="36" t="s">
        <v>279</v>
      </c>
      <c r="D836" s="36" t="s">
        <v>156</v>
      </c>
      <c r="E836" s="37">
        <v>7.4899999999999994E-2</v>
      </c>
      <c r="F836" s="34">
        <v>26.307499999999997</v>
      </c>
      <c r="G836" s="34">
        <f t="shared" si="13"/>
        <v>1.9704317499999997</v>
      </c>
      <c r="H836" s="56"/>
      <c r="I836" s="57"/>
      <c r="J836" s="155">
        <v>0</v>
      </c>
    </row>
    <row r="837" spans="1:10" ht="15" hidden="1" thickBot="1" x14ac:dyDescent="0.35">
      <c r="A837" s="229"/>
      <c r="B837" s="224"/>
      <c r="C837" s="36" t="s">
        <v>27</v>
      </c>
      <c r="D837" s="36" t="s">
        <v>12</v>
      </c>
      <c r="E837" s="37">
        <v>0.14680000000000001</v>
      </c>
      <c r="F837" s="31">
        <v>15.4785</v>
      </c>
      <c r="G837" s="34">
        <f t="shared" si="13"/>
        <v>2.2722438000000005</v>
      </c>
      <c r="H837" s="56"/>
      <c r="I837" s="57"/>
      <c r="J837" s="155">
        <v>0</v>
      </c>
    </row>
    <row r="838" spans="1:10" ht="15" hidden="1" thickBot="1" x14ac:dyDescent="0.35">
      <c r="A838" s="230"/>
      <c r="B838" s="225"/>
      <c r="C838" s="36"/>
      <c r="D838" s="36"/>
      <c r="E838" s="37"/>
      <c r="F838" s="31" t="s">
        <v>560</v>
      </c>
      <c r="G838" s="34" t="str">
        <f t="shared" si="13"/>
        <v/>
      </c>
      <c r="H838" s="35"/>
      <c r="I838" s="31"/>
      <c r="J838" s="155">
        <v>0</v>
      </c>
    </row>
    <row r="839" spans="1:10" ht="15" hidden="1" thickBot="1" x14ac:dyDescent="0.35">
      <c r="A839" s="226" t="s">
        <v>297</v>
      </c>
      <c r="B839" s="223" t="e">
        <f>INDEX(#REF!,MATCH(Composições!A839,#REF!,0),2)</f>
        <v>#REF!</v>
      </c>
      <c r="C839" s="41"/>
      <c r="D839" s="26" t="e">
        <f>TRIM(INDEX(#REF!,MATCH(Composições!A839,#REF!,0),1))</f>
        <v>#REF!</v>
      </c>
      <c r="E839" s="27"/>
      <c r="F839" s="42" t="s">
        <v>560</v>
      </c>
      <c r="G839" s="28" t="str">
        <f t="shared" si="13"/>
        <v/>
      </c>
      <c r="H839" s="29"/>
      <c r="I839" s="30"/>
      <c r="J839" s="155">
        <v>0</v>
      </c>
    </row>
    <row r="840" spans="1:10" ht="15" hidden="1" thickBot="1" x14ac:dyDescent="0.35">
      <c r="A840" s="229"/>
      <c r="B840" s="224"/>
      <c r="C840" s="32"/>
      <c r="D840" s="32"/>
      <c r="E840" s="33"/>
      <c r="F840" s="43" t="s">
        <v>560</v>
      </c>
      <c r="G840" s="31" t="str">
        <f t="shared" si="13"/>
        <v/>
      </c>
      <c r="H840" s="35"/>
      <c r="I840" s="31"/>
      <c r="J840" s="155">
        <v>0</v>
      </c>
    </row>
    <row r="841" spans="1:10" ht="15" hidden="1" thickBot="1" x14ac:dyDescent="0.35">
      <c r="A841" s="229"/>
      <c r="B841" s="224"/>
      <c r="C841" s="36" t="s">
        <v>23</v>
      </c>
      <c r="D841" s="36" t="s">
        <v>12</v>
      </c>
      <c r="E841" s="37">
        <v>0.1</v>
      </c>
      <c r="F841" s="31">
        <v>14.968499999999999</v>
      </c>
      <c r="G841" s="34">
        <f t="shared" si="13"/>
        <v>1.49685</v>
      </c>
      <c r="H841" s="39">
        <f>SUM(G841:G843)</f>
        <v>5.8080499999999997</v>
      </c>
      <c r="I841" s="40"/>
      <c r="J841" s="155">
        <v>0</v>
      </c>
    </row>
    <row r="842" spans="1:10" ht="15" hidden="1" thickBot="1" x14ac:dyDescent="0.35">
      <c r="A842" s="229"/>
      <c r="B842" s="224"/>
      <c r="C842" s="36" t="s">
        <v>22</v>
      </c>
      <c r="D842" s="36" t="s">
        <v>12</v>
      </c>
      <c r="E842" s="37">
        <v>0.1</v>
      </c>
      <c r="F842" s="31">
        <v>20.314999999999998</v>
      </c>
      <c r="G842" s="34">
        <f t="shared" si="13"/>
        <v>2.0314999999999999</v>
      </c>
      <c r="H842" s="35"/>
      <c r="I842" s="31"/>
      <c r="J842" s="155">
        <v>0</v>
      </c>
    </row>
    <row r="843" spans="1:10" ht="15" hidden="1" thickBot="1" x14ac:dyDescent="0.35">
      <c r="A843" s="229"/>
      <c r="B843" s="224"/>
      <c r="C843" s="36" t="s">
        <v>298</v>
      </c>
      <c r="D843" s="36" t="s">
        <v>42</v>
      </c>
      <c r="E843" s="37">
        <v>0.1</v>
      </c>
      <c r="F843" s="34">
        <v>22.797000000000001</v>
      </c>
      <c r="G843" s="31">
        <f t="shared" si="13"/>
        <v>2.2797000000000001</v>
      </c>
      <c r="H843" s="35"/>
      <c r="I843" s="31"/>
      <c r="J843" s="155">
        <v>0</v>
      </c>
    </row>
    <row r="844" spans="1:10" ht="15" hidden="1" thickBot="1" x14ac:dyDescent="0.35">
      <c r="A844" s="230"/>
      <c r="B844" s="225"/>
      <c r="C844" s="36"/>
      <c r="D844" s="36"/>
      <c r="E844" s="37"/>
      <c r="F844" s="31" t="s">
        <v>560</v>
      </c>
      <c r="G844" s="31" t="str">
        <f t="shared" si="13"/>
        <v/>
      </c>
      <c r="H844" s="35"/>
      <c r="I844" s="31"/>
      <c r="J844" s="155">
        <v>0</v>
      </c>
    </row>
    <row r="845" spans="1:10" ht="15" hidden="1" thickBot="1" x14ac:dyDescent="0.35">
      <c r="A845" s="226" t="s">
        <v>299</v>
      </c>
      <c r="B845" s="223" t="e">
        <f>INDEX(#REF!,MATCH(Composições!A845,#REF!,0),2)</f>
        <v>#REF!</v>
      </c>
      <c r="C845" s="41"/>
      <c r="D845" s="26" t="e">
        <f>TRIM(INDEX(#REF!,MATCH(Composições!A845,#REF!,0),1))</f>
        <v>#REF!</v>
      </c>
      <c r="E845" s="27"/>
      <c r="F845" s="42" t="s">
        <v>560</v>
      </c>
      <c r="G845" s="28" t="str">
        <f t="shared" si="13"/>
        <v/>
      </c>
      <c r="H845" s="29"/>
      <c r="I845" s="30"/>
      <c r="J845" s="155">
        <v>0</v>
      </c>
    </row>
    <row r="846" spans="1:10" ht="15" hidden="1" thickBot="1" x14ac:dyDescent="0.35">
      <c r="A846" s="227"/>
      <c r="B846" s="224"/>
      <c r="C846" s="32"/>
      <c r="D846" s="32"/>
      <c r="E846" s="33"/>
      <c r="F846" s="43" t="s">
        <v>560</v>
      </c>
      <c r="G846" s="31" t="str">
        <f t="shared" si="13"/>
        <v/>
      </c>
      <c r="H846" s="35"/>
      <c r="I846" s="31"/>
      <c r="J846" s="155">
        <v>0</v>
      </c>
    </row>
    <row r="847" spans="1:10" ht="15" hidden="1" thickBot="1" x14ac:dyDescent="0.35">
      <c r="A847" s="227"/>
      <c r="B847" s="224"/>
      <c r="C847" s="36" t="s">
        <v>68</v>
      </c>
      <c r="D847" s="47" t="s">
        <v>12</v>
      </c>
      <c r="E847" s="37">
        <v>0.25</v>
      </c>
      <c r="F847" s="31">
        <v>18.861499999999999</v>
      </c>
      <c r="G847" s="34">
        <f t="shared" si="13"/>
        <v>4.7153749999999999</v>
      </c>
      <c r="H847" s="39">
        <f>SUM(G847:G848)</f>
        <v>4.7153749999999999</v>
      </c>
      <c r="I847" s="40"/>
      <c r="J847" s="155">
        <v>0</v>
      </c>
    </row>
    <row r="848" spans="1:10" ht="15" hidden="1" thickBot="1" x14ac:dyDescent="0.35">
      <c r="A848" s="227"/>
      <c r="B848" s="224"/>
      <c r="C848" s="36" t="s">
        <v>300</v>
      </c>
      <c r="D848" s="47" t="s">
        <v>93</v>
      </c>
      <c r="E848" s="37">
        <v>1.05</v>
      </c>
      <c r="F848" s="34" t="s">
        <v>560</v>
      </c>
      <c r="G848" s="34" t="str">
        <f t="shared" si="13"/>
        <v/>
      </c>
      <c r="H848" s="35"/>
      <c r="I848" s="31"/>
      <c r="J848" s="155">
        <v>0</v>
      </c>
    </row>
    <row r="849" spans="1:10" ht="15" hidden="1" thickBot="1" x14ac:dyDescent="0.35">
      <c r="A849" s="228"/>
      <c r="B849" s="225"/>
      <c r="C849" s="36"/>
      <c r="D849" s="47"/>
      <c r="E849" s="37"/>
      <c r="F849" s="34" t="s">
        <v>560</v>
      </c>
      <c r="G849" s="34" t="str">
        <f t="shared" si="13"/>
        <v/>
      </c>
      <c r="H849" s="35"/>
      <c r="I849" s="31"/>
      <c r="J849" s="155">
        <v>0</v>
      </c>
    </row>
    <row r="850" spans="1:10" ht="15" hidden="1" thickBot="1" x14ac:dyDescent="0.35">
      <c r="A850" s="226" t="s">
        <v>301</v>
      </c>
      <c r="B850" s="223" t="e">
        <f>INDEX(#REF!,MATCH(Composições!A850,#REF!,0),2)</f>
        <v>#REF!</v>
      </c>
      <c r="C850" s="41"/>
      <c r="D850" s="26" t="e">
        <f>TRIM(INDEX(#REF!,MATCH(Composições!A850,#REF!,0),1))</f>
        <v>#REF!</v>
      </c>
      <c r="E850" s="27"/>
      <c r="F850" s="42" t="s">
        <v>560</v>
      </c>
      <c r="G850" s="28" t="str">
        <f t="shared" ref="G850:G913" si="14">IF(ISNUMBER(F850),E850*F850,"")</f>
        <v/>
      </c>
      <c r="H850" s="29"/>
      <c r="I850" s="30"/>
      <c r="J850" s="155">
        <v>0</v>
      </c>
    </row>
    <row r="851" spans="1:10" ht="15" hidden="1" thickBot="1" x14ac:dyDescent="0.35">
      <c r="A851" s="227"/>
      <c r="B851" s="224"/>
      <c r="C851" s="32"/>
      <c r="D851" s="32"/>
      <c r="E851" s="33"/>
      <c r="F851" s="43" t="s">
        <v>560</v>
      </c>
      <c r="G851" s="31" t="str">
        <f t="shared" si="14"/>
        <v/>
      </c>
      <c r="H851" s="35"/>
      <c r="I851" s="31"/>
      <c r="J851" s="155">
        <v>0</v>
      </c>
    </row>
    <row r="852" spans="1:10" ht="15" hidden="1" thickBot="1" x14ac:dyDescent="0.35">
      <c r="A852" s="227"/>
      <c r="B852" s="224"/>
      <c r="C852" s="36" t="s">
        <v>68</v>
      </c>
      <c r="D852" s="47" t="s">
        <v>12</v>
      </c>
      <c r="E852" s="37">
        <v>0.5</v>
      </c>
      <c r="F852" s="31">
        <v>18.861499999999999</v>
      </c>
      <c r="G852" s="34">
        <f t="shared" si="14"/>
        <v>9.4307499999999997</v>
      </c>
      <c r="H852" s="39">
        <f>SUM(G852:G854)</f>
        <v>15.809574999999999</v>
      </c>
      <c r="I852" s="40"/>
      <c r="J852" s="155">
        <v>0</v>
      </c>
    </row>
    <row r="853" spans="1:10" ht="15" hidden="1" thickBot="1" x14ac:dyDescent="0.35">
      <c r="A853" s="227"/>
      <c r="B853" s="224"/>
      <c r="C853" s="36" t="s">
        <v>23</v>
      </c>
      <c r="D853" s="47" t="s">
        <v>12</v>
      </c>
      <c r="E853" s="37">
        <f>E852/2</f>
        <v>0.25</v>
      </c>
      <c r="F853" s="34">
        <v>14.968499999999999</v>
      </c>
      <c r="G853" s="31">
        <f t="shared" si="14"/>
        <v>3.7421249999999997</v>
      </c>
      <c r="H853" s="35"/>
      <c r="I853" s="31"/>
      <c r="J853" s="155">
        <v>0</v>
      </c>
    </row>
    <row r="854" spans="1:10" ht="15" hidden="1" thickBot="1" x14ac:dyDescent="0.35">
      <c r="A854" s="227"/>
      <c r="B854" s="224"/>
      <c r="C854" s="36" t="s">
        <v>302</v>
      </c>
      <c r="D854" s="36" t="s">
        <v>42</v>
      </c>
      <c r="E854" s="37">
        <v>0.6</v>
      </c>
      <c r="F854" s="34">
        <v>4.3944999999999999</v>
      </c>
      <c r="G854" s="31">
        <f t="shared" si="14"/>
        <v>2.6366999999999998</v>
      </c>
      <c r="H854" s="35"/>
      <c r="I854" s="31"/>
      <c r="J854" s="155">
        <v>0</v>
      </c>
    </row>
    <row r="855" spans="1:10" ht="15" hidden="1" thickBot="1" x14ac:dyDescent="0.35">
      <c r="A855" s="228"/>
      <c r="B855" s="225"/>
      <c r="C855" s="36"/>
      <c r="D855" s="36"/>
      <c r="E855" s="37"/>
      <c r="F855" s="31" t="s">
        <v>560</v>
      </c>
      <c r="G855" s="31" t="str">
        <f t="shared" si="14"/>
        <v/>
      </c>
      <c r="H855" s="35"/>
      <c r="I855" s="31"/>
      <c r="J855" s="155">
        <v>0</v>
      </c>
    </row>
    <row r="856" spans="1:10" ht="15" hidden="1" thickBot="1" x14ac:dyDescent="0.35">
      <c r="A856" s="226" t="s">
        <v>303</v>
      </c>
      <c r="B856" s="223" t="e">
        <f>INDEX(#REF!,MATCH(Composições!A856,#REF!,0),2)</f>
        <v>#REF!</v>
      </c>
      <c r="C856" s="41"/>
      <c r="D856" s="26" t="e">
        <f>TRIM(INDEX(#REF!,MATCH(Composições!A856,#REF!,0),1))</f>
        <v>#REF!</v>
      </c>
      <c r="E856" s="27"/>
      <c r="F856" s="42" t="s">
        <v>560</v>
      </c>
      <c r="G856" s="28" t="str">
        <f t="shared" si="14"/>
        <v/>
      </c>
      <c r="H856" s="29"/>
      <c r="I856" s="30"/>
      <c r="J856" s="155">
        <v>0</v>
      </c>
    </row>
    <row r="857" spans="1:10" ht="15" hidden="1" thickBot="1" x14ac:dyDescent="0.35">
      <c r="A857" s="229"/>
      <c r="B857" s="224"/>
      <c r="C857" s="32"/>
      <c r="D857" s="32"/>
      <c r="E857" s="33"/>
      <c r="F857" s="43" t="s">
        <v>560</v>
      </c>
      <c r="G857" s="31" t="str">
        <f t="shared" si="14"/>
        <v/>
      </c>
      <c r="H857" s="35"/>
      <c r="I857" s="31"/>
      <c r="J857" s="155">
        <v>0</v>
      </c>
    </row>
    <row r="858" spans="1:10" ht="15" hidden="1" thickBot="1" x14ac:dyDescent="0.35">
      <c r="A858" s="229"/>
      <c r="B858" s="224"/>
      <c r="C858" s="36" t="s">
        <v>304</v>
      </c>
      <c r="D858" s="47" t="s">
        <v>95</v>
      </c>
      <c r="E858" s="37">
        <v>1</v>
      </c>
      <c r="F858" s="31">
        <v>0</v>
      </c>
      <c r="G858" s="34">
        <f t="shared" si="14"/>
        <v>0</v>
      </c>
      <c r="H858" s="39">
        <f>SUM(G858:G860)</f>
        <v>84.575000000000003</v>
      </c>
      <c r="I858" s="40"/>
      <c r="J858" s="155">
        <v>0</v>
      </c>
    </row>
    <row r="859" spans="1:10" ht="15" hidden="1" thickBot="1" x14ac:dyDescent="0.35">
      <c r="A859" s="229"/>
      <c r="B859" s="224"/>
      <c r="C859" s="36" t="s">
        <v>23</v>
      </c>
      <c r="D859" s="47" t="s">
        <v>12</v>
      </c>
      <c r="E859" s="37">
        <v>2.5</v>
      </c>
      <c r="F859" s="31">
        <v>14.968499999999999</v>
      </c>
      <c r="G859" s="34">
        <f t="shared" si="14"/>
        <v>37.421250000000001</v>
      </c>
      <c r="H859" s="35"/>
      <c r="I859" s="31"/>
      <c r="J859" s="155">
        <v>0</v>
      </c>
    </row>
    <row r="860" spans="1:10" ht="15" hidden="1" thickBot="1" x14ac:dyDescent="0.35">
      <c r="A860" s="229"/>
      <c r="B860" s="224"/>
      <c r="C860" s="36" t="s">
        <v>68</v>
      </c>
      <c r="D860" s="47" t="s">
        <v>12</v>
      </c>
      <c r="E860" s="37">
        <v>2.5</v>
      </c>
      <c r="F860" s="31">
        <v>18.861499999999999</v>
      </c>
      <c r="G860" s="34">
        <f t="shared" si="14"/>
        <v>47.153750000000002</v>
      </c>
      <c r="H860" s="35"/>
      <c r="I860" s="31"/>
      <c r="J860" s="155">
        <v>0</v>
      </c>
    </row>
    <row r="861" spans="1:10" ht="15" hidden="1" thickBot="1" x14ac:dyDescent="0.35">
      <c r="A861" s="230"/>
      <c r="B861" s="225"/>
      <c r="C861" s="36"/>
      <c r="D861" s="36"/>
      <c r="E861" s="37"/>
      <c r="F861" s="31" t="s">
        <v>560</v>
      </c>
      <c r="G861" s="31" t="str">
        <f t="shared" si="14"/>
        <v/>
      </c>
      <c r="H861" s="35"/>
      <c r="I861" s="31"/>
      <c r="J861" s="155">
        <v>0</v>
      </c>
    </row>
    <row r="862" spans="1:10" ht="15" hidden="1" thickBot="1" x14ac:dyDescent="0.35">
      <c r="A862" s="226" t="s">
        <v>305</v>
      </c>
      <c r="B862" s="223" t="e">
        <f>INDEX(#REF!,MATCH(Composições!A862,#REF!,0),2)</f>
        <v>#REF!</v>
      </c>
      <c r="C862" s="41"/>
      <c r="D862" s="26" t="e">
        <f>TRIM(INDEX(#REF!,MATCH(Composições!A862,#REF!,0),1))</f>
        <v>#REF!</v>
      </c>
      <c r="E862" s="27"/>
      <c r="F862" s="42" t="s">
        <v>560</v>
      </c>
      <c r="G862" s="28" t="str">
        <f t="shared" si="14"/>
        <v/>
      </c>
      <c r="H862" s="29"/>
      <c r="I862" s="30"/>
      <c r="J862" s="155">
        <v>0</v>
      </c>
    </row>
    <row r="863" spans="1:10" ht="15" hidden="1" thickBot="1" x14ac:dyDescent="0.35">
      <c r="A863" s="229"/>
      <c r="B863" s="224"/>
      <c r="C863" s="32"/>
      <c r="D863" s="32"/>
      <c r="E863" s="33"/>
      <c r="F863" s="43" t="s">
        <v>560</v>
      </c>
      <c r="G863" s="31" t="str">
        <f t="shared" si="14"/>
        <v/>
      </c>
      <c r="H863" s="35"/>
      <c r="I863" s="31"/>
      <c r="J863" s="155">
        <v>0</v>
      </c>
    </row>
    <row r="864" spans="1:10" ht="15" hidden="1" thickBot="1" x14ac:dyDescent="0.35">
      <c r="A864" s="229"/>
      <c r="B864" s="224"/>
      <c r="C864" s="36" t="s">
        <v>68</v>
      </c>
      <c r="D864" s="47" t="s">
        <v>12</v>
      </c>
      <c r="E864" s="37">
        <v>1</v>
      </c>
      <c r="F864" s="31">
        <v>18.861499999999999</v>
      </c>
      <c r="G864" s="34">
        <f t="shared" si="14"/>
        <v>18.861499999999999</v>
      </c>
      <c r="H864" s="39">
        <f>SUM(G864:G865)</f>
        <v>27.650500000000001</v>
      </c>
      <c r="I864" s="40"/>
      <c r="J864" s="155">
        <v>0</v>
      </c>
    </row>
    <row r="865" spans="1:10" ht="15" hidden="1" thickBot="1" x14ac:dyDescent="0.35">
      <c r="A865" s="229"/>
      <c r="B865" s="224"/>
      <c r="C865" s="36" t="s">
        <v>302</v>
      </c>
      <c r="D865" s="47" t="s">
        <v>42</v>
      </c>
      <c r="E865" s="37">
        <v>2</v>
      </c>
      <c r="F865" s="34">
        <v>4.3944999999999999</v>
      </c>
      <c r="G865" s="34">
        <f t="shared" si="14"/>
        <v>8.7889999999999997</v>
      </c>
      <c r="H865" s="35"/>
      <c r="I865" s="31"/>
      <c r="J865" s="155">
        <v>0</v>
      </c>
    </row>
    <row r="866" spans="1:10" ht="15" hidden="1" thickBot="1" x14ac:dyDescent="0.35">
      <c r="A866" s="229"/>
      <c r="B866" s="224"/>
      <c r="C866" s="36"/>
      <c r="D866" s="47"/>
      <c r="E866" s="37"/>
      <c r="F866" s="34" t="s">
        <v>560</v>
      </c>
      <c r="G866" s="34" t="str">
        <f t="shared" si="14"/>
        <v/>
      </c>
      <c r="H866" s="35"/>
      <c r="I866" s="31"/>
      <c r="J866" s="155">
        <v>0</v>
      </c>
    </row>
    <row r="867" spans="1:10" ht="15" hidden="1" thickBot="1" x14ac:dyDescent="0.35">
      <c r="A867" s="226" t="s">
        <v>306</v>
      </c>
      <c r="B867" s="223" t="e">
        <f>INDEX(#REF!,MATCH(Composições!A867,#REF!,0),2)</f>
        <v>#REF!</v>
      </c>
      <c r="C867" s="41"/>
      <c r="D867" s="26" t="e">
        <f>TRIM(INDEX(#REF!,MATCH(Composições!A867,#REF!,0),1))</f>
        <v>#REF!</v>
      </c>
      <c r="E867" s="27"/>
      <c r="F867" s="42" t="s">
        <v>560</v>
      </c>
      <c r="G867" s="28" t="str">
        <f t="shared" si="14"/>
        <v/>
      </c>
      <c r="H867" s="29"/>
      <c r="I867" s="30"/>
      <c r="J867" s="155">
        <v>0</v>
      </c>
    </row>
    <row r="868" spans="1:10" ht="15" hidden="1" thickBot="1" x14ac:dyDescent="0.35">
      <c r="A868" s="227"/>
      <c r="B868" s="224"/>
      <c r="C868" s="32"/>
      <c r="D868" s="32"/>
      <c r="E868" s="33"/>
      <c r="F868" s="43" t="s">
        <v>560</v>
      </c>
      <c r="G868" s="31" t="str">
        <f t="shared" si="14"/>
        <v/>
      </c>
      <c r="H868" s="35"/>
      <c r="I868" s="31"/>
      <c r="J868" s="155">
        <v>0</v>
      </c>
    </row>
    <row r="869" spans="1:10" ht="15" hidden="1" thickBot="1" x14ac:dyDescent="0.35">
      <c r="A869" s="227"/>
      <c r="B869" s="224"/>
      <c r="C869" s="36" t="s">
        <v>68</v>
      </c>
      <c r="D869" s="47" t="s">
        <v>12</v>
      </c>
      <c r="E869" s="37">
        <v>0.5</v>
      </c>
      <c r="F869" s="31">
        <v>18.861499999999999</v>
      </c>
      <c r="G869" s="31">
        <f t="shared" si="14"/>
        <v>9.4307499999999997</v>
      </c>
      <c r="H869" s="39">
        <f>SUM(G869:G871)</f>
        <v>19.195939299999999</v>
      </c>
      <c r="I869" s="40"/>
      <c r="J869" s="155">
        <v>0</v>
      </c>
    </row>
    <row r="870" spans="1:10" ht="15" hidden="1" thickBot="1" x14ac:dyDescent="0.35">
      <c r="A870" s="227"/>
      <c r="B870" s="224"/>
      <c r="C870" s="36" t="s">
        <v>23</v>
      </c>
      <c r="D870" s="47" t="s">
        <v>12</v>
      </c>
      <c r="E870" s="37">
        <f>E869/2</f>
        <v>0.25</v>
      </c>
      <c r="F870" s="34">
        <v>14.968499999999999</v>
      </c>
      <c r="G870" s="31">
        <f t="shared" si="14"/>
        <v>3.7421249999999997</v>
      </c>
      <c r="H870" s="35"/>
      <c r="I870" s="31"/>
      <c r="J870" s="155">
        <v>0</v>
      </c>
    </row>
    <row r="871" spans="1:10" ht="15" hidden="1" thickBot="1" x14ac:dyDescent="0.35">
      <c r="A871" s="227"/>
      <c r="B871" s="224"/>
      <c r="C871" s="36" t="s">
        <v>307</v>
      </c>
      <c r="D871" s="47" t="s">
        <v>20</v>
      </c>
      <c r="E871" s="37">
        <f>ROUND(1/3,4)</f>
        <v>0.33329999999999999</v>
      </c>
      <c r="F871" s="34">
        <v>18.071000000000002</v>
      </c>
      <c r="G871" s="31">
        <f t="shared" si="14"/>
        <v>6.0230643000000006</v>
      </c>
      <c r="H871" s="35"/>
      <c r="I871" s="31"/>
      <c r="J871" s="155">
        <v>0</v>
      </c>
    </row>
    <row r="872" spans="1:10" ht="15" hidden="1" thickBot="1" x14ac:dyDescent="0.35">
      <c r="A872" s="227"/>
      <c r="B872" s="224"/>
      <c r="C872" s="36"/>
      <c r="D872" s="47"/>
      <c r="E872" s="37"/>
      <c r="F872" s="31" t="s">
        <v>560</v>
      </c>
      <c r="G872" s="31" t="str">
        <f t="shared" si="14"/>
        <v/>
      </c>
      <c r="H872" s="35"/>
      <c r="I872" s="31"/>
      <c r="J872" s="155">
        <v>0</v>
      </c>
    </row>
    <row r="873" spans="1:10" ht="27" hidden="1" thickBot="1" x14ac:dyDescent="0.35">
      <c r="A873" s="227"/>
      <c r="B873" s="224"/>
      <c r="C873" s="58" t="s">
        <v>308</v>
      </c>
      <c r="D873" s="58"/>
      <c r="E873" s="59"/>
      <c r="F873" s="60" t="s">
        <v>560</v>
      </c>
      <c r="G873" s="58" t="str">
        <f t="shared" si="14"/>
        <v/>
      </c>
      <c r="H873" s="61"/>
      <c r="I873" s="58"/>
      <c r="J873" s="155">
        <v>0</v>
      </c>
    </row>
    <row r="874" spans="1:10" ht="15" hidden="1" thickBot="1" x14ac:dyDescent="0.35">
      <c r="A874" s="228"/>
      <c r="B874" s="225"/>
      <c r="C874" s="36"/>
      <c r="D874" s="36"/>
      <c r="E874" s="37"/>
      <c r="F874" s="31" t="s">
        <v>560</v>
      </c>
      <c r="G874" s="31" t="str">
        <f t="shared" si="14"/>
        <v/>
      </c>
      <c r="H874" s="35"/>
      <c r="I874" s="31"/>
      <c r="J874" s="155">
        <v>0</v>
      </c>
    </row>
    <row r="875" spans="1:10" ht="15" hidden="1" thickBot="1" x14ac:dyDescent="0.35">
      <c r="A875" s="226" t="s">
        <v>309</v>
      </c>
      <c r="B875" s="223" t="e">
        <f>INDEX(#REF!,MATCH(Composições!A875,#REF!,0),2)</f>
        <v>#REF!</v>
      </c>
      <c r="C875" s="41"/>
      <c r="D875" s="26" t="e">
        <f>TRIM(INDEX(#REF!,MATCH(Composições!A875,#REF!,0),1))</f>
        <v>#REF!</v>
      </c>
      <c r="E875" s="27"/>
      <c r="F875" s="42" t="s">
        <v>560</v>
      </c>
      <c r="G875" s="28" t="str">
        <f t="shared" si="14"/>
        <v/>
      </c>
      <c r="H875" s="29"/>
      <c r="I875" s="30"/>
      <c r="J875" s="155">
        <v>0</v>
      </c>
    </row>
    <row r="876" spans="1:10" ht="15" hidden="1" thickBot="1" x14ac:dyDescent="0.35">
      <c r="A876" s="227"/>
      <c r="B876" s="224"/>
      <c r="C876" s="32"/>
      <c r="D876" s="32"/>
      <c r="E876" s="33"/>
      <c r="F876" s="43" t="s">
        <v>560</v>
      </c>
      <c r="G876" s="31" t="str">
        <f t="shared" si="14"/>
        <v/>
      </c>
      <c r="H876" s="35"/>
      <c r="I876" s="31"/>
      <c r="J876" s="155">
        <v>0</v>
      </c>
    </row>
    <row r="877" spans="1:10" ht="15" hidden="1" thickBot="1" x14ac:dyDescent="0.35">
      <c r="A877" s="227"/>
      <c r="B877" s="224"/>
      <c r="C877" s="36" t="s">
        <v>68</v>
      </c>
      <c r="D877" s="47" t="s">
        <v>12</v>
      </c>
      <c r="E877" s="37">
        <v>1</v>
      </c>
      <c r="F877" s="31">
        <v>18.861499999999999</v>
      </c>
      <c r="G877" s="34">
        <f t="shared" si="14"/>
        <v>18.861499999999999</v>
      </c>
      <c r="H877" s="39">
        <f>SUM(G877:G879)</f>
        <v>96.780999999999992</v>
      </c>
      <c r="I877" s="40"/>
      <c r="J877" s="155">
        <v>0</v>
      </c>
    </row>
    <row r="878" spans="1:10" ht="15" hidden="1" thickBot="1" x14ac:dyDescent="0.35">
      <c r="A878" s="227"/>
      <c r="B878" s="224"/>
      <c r="C878" s="36" t="s">
        <v>310</v>
      </c>
      <c r="D878" s="47" t="s">
        <v>95</v>
      </c>
      <c r="E878" s="37">
        <v>1</v>
      </c>
      <c r="F878" s="34">
        <v>69.130499999999998</v>
      </c>
      <c r="G878" s="34">
        <f t="shared" si="14"/>
        <v>69.130499999999998</v>
      </c>
      <c r="H878" s="35"/>
      <c r="I878" s="31"/>
      <c r="J878" s="155">
        <v>0</v>
      </c>
    </row>
    <row r="879" spans="1:10" ht="15" hidden="1" thickBot="1" x14ac:dyDescent="0.35">
      <c r="A879" s="227"/>
      <c r="B879" s="224"/>
      <c r="C879" s="36" t="s">
        <v>302</v>
      </c>
      <c r="D879" s="47" t="s">
        <v>42</v>
      </c>
      <c r="E879" s="37">
        <v>2</v>
      </c>
      <c r="F879" s="34">
        <v>4.3944999999999999</v>
      </c>
      <c r="G879" s="34">
        <f t="shared" si="14"/>
        <v>8.7889999999999997</v>
      </c>
      <c r="H879" s="35"/>
      <c r="I879" s="31"/>
      <c r="J879" s="155">
        <v>0</v>
      </c>
    </row>
    <row r="880" spans="1:10" ht="15" hidden="1" thickBot="1" x14ac:dyDescent="0.35">
      <c r="A880" s="228"/>
      <c r="B880" s="225"/>
      <c r="C880" s="36"/>
      <c r="D880" s="36"/>
      <c r="E880" s="37"/>
      <c r="F880" s="31" t="s">
        <v>560</v>
      </c>
      <c r="G880" s="31" t="str">
        <f t="shared" si="14"/>
        <v/>
      </c>
      <c r="H880" s="35"/>
      <c r="I880" s="31"/>
      <c r="J880" s="155">
        <v>0</v>
      </c>
    </row>
    <row r="881" spans="1:10" ht="15" hidden="1" thickBot="1" x14ac:dyDescent="0.35">
      <c r="A881" s="226" t="s">
        <v>311</v>
      </c>
      <c r="B881" s="223" t="e">
        <f>INDEX(#REF!,MATCH(Composições!A881,#REF!,0),2)</f>
        <v>#REF!</v>
      </c>
      <c r="C881" s="41"/>
      <c r="D881" s="26" t="e">
        <f>TRIM(INDEX(#REF!,MATCH(Composições!A881,#REF!,0),1))</f>
        <v>#REF!</v>
      </c>
      <c r="E881" s="27"/>
      <c r="F881" s="42" t="s">
        <v>560</v>
      </c>
      <c r="G881" s="28" t="str">
        <f t="shared" si="14"/>
        <v/>
      </c>
      <c r="H881" s="29"/>
      <c r="I881" s="30"/>
      <c r="J881" s="155">
        <v>0</v>
      </c>
    </row>
    <row r="882" spans="1:10" ht="15" hidden="1" thickBot="1" x14ac:dyDescent="0.35">
      <c r="A882" s="227"/>
      <c r="B882" s="224"/>
      <c r="C882" s="32"/>
      <c r="D882" s="32"/>
      <c r="E882" s="33"/>
      <c r="F882" s="43" t="s">
        <v>560</v>
      </c>
      <c r="G882" s="31" t="str">
        <f t="shared" si="14"/>
        <v/>
      </c>
      <c r="H882" s="35"/>
      <c r="I882" s="31"/>
      <c r="J882" s="155">
        <v>0</v>
      </c>
    </row>
    <row r="883" spans="1:10" ht="15" hidden="1" thickBot="1" x14ac:dyDescent="0.35">
      <c r="A883" s="227"/>
      <c r="B883" s="224"/>
      <c r="C883" s="36" t="s">
        <v>68</v>
      </c>
      <c r="D883" s="47" t="s">
        <v>12</v>
      </c>
      <c r="E883" s="37">
        <v>1</v>
      </c>
      <c r="F883" s="31">
        <v>18.861499999999999</v>
      </c>
      <c r="G883" s="31">
        <f t="shared" si="14"/>
        <v>18.861499999999999</v>
      </c>
      <c r="H883" s="39">
        <f>SUM(G883:G885)</f>
        <v>125.58749999999999</v>
      </c>
      <c r="I883" s="40"/>
      <c r="J883" s="155">
        <v>0</v>
      </c>
    </row>
    <row r="884" spans="1:10" ht="15" hidden="1" thickBot="1" x14ac:dyDescent="0.35">
      <c r="A884" s="227"/>
      <c r="B884" s="224"/>
      <c r="C884" s="36" t="s">
        <v>312</v>
      </c>
      <c r="D884" s="47" t="s">
        <v>95</v>
      </c>
      <c r="E884" s="37">
        <v>1</v>
      </c>
      <c r="F884" s="34">
        <v>97.936999999999998</v>
      </c>
      <c r="G884" s="31">
        <f t="shared" si="14"/>
        <v>97.936999999999998</v>
      </c>
      <c r="H884" s="35"/>
      <c r="I884" s="31"/>
      <c r="J884" s="155">
        <v>0</v>
      </c>
    </row>
    <row r="885" spans="1:10" ht="15" hidden="1" thickBot="1" x14ac:dyDescent="0.35">
      <c r="A885" s="227"/>
      <c r="B885" s="224"/>
      <c r="C885" s="36" t="s">
        <v>302</v>
      </c>
      <c r="D885" s="47" t="s">
        <v>42</v>
      </c>
      <c r="E885" s="37">
        <v>2</v>
      </c>
      <c r="F885" s="34">
        <v>4.3944999999999999</v>
      </c>
      <c r="G885" s="31">
        <f t="shared" si="14"/>
        <v>8.7889999999999997</v>
      </c>
      <c r="H885" s="35"/>
      <c r="I885" s="31"/>
      <c r="J885" s="155">
        <v>0</v>
      </c>
    </row>
    <row r="886" spans="1:10" ht="15" hidden="1" thickBot="1" x14ac:dyDescent="0.35">
      <c r="A886" s="228"/>
      <c r="B886" s="225"/>
      <c r="C886" s="36"/>
      <c r="D886" s="36"/>
      <c r="E886" s="37"/>
      <c r="F886" s="31" t="s">
        <v>560</v>
      </c>
      <c r="G886" s="31" t="str">
        <f t="shared" si="14"/>
        <v/>
      </c>
      <c r="H886" s="35"/>
      <c r="I886" s="31"/>
      <c r="J886" s="155">
        <v>0</v>
      </c>
    </row>
    <row r="887" spans="1:10" ht="15" hidden="1" thickBot="1" x14ac:dyDescent="0.35">
      <c r="A887" s="226" t="s">
        <v>313</v>
      </c>
      <c r="B887" s="223" t="e">
        <f>INDEX(#REF!,MATCH(Composições!A887,#REF!,0),2)</f>
        <v>#REF!</v>
      </c>
      <c r="C887" s="41"/>
      <c r="D887" s="26" t="e">
        <f>TRIM(INDEX(#REF!,MATCH(Composições!A887,#REF!,0),1))</f>
        <v>#REF!</v>
      </c>
      <c r="E887" s="27"/>
      <c r="F887" s="42" t="s">
        <v>560</v>
      </c>
      <c r="G887" s="28" t="str">
        <f t="shared" si="14"/>
        <v/>
      </c>
      <c r="H887" s="29"/>
      <c r="I887" s="30"/>
      <c r="J887" s="155">
        <v>0</v>
      </c>
    </row>
    <row r="888" spans="1:10" ht="15" hidden="1" thickBot="1" x14ac:dyDescent="0.35">
      <c r="A888" s="229"/>
      <c r="B888" s="224"/>
      <c r="C888" s="32"/>
      <c r="D888" s="32"/>
      <c r="E888" s="33"/>
      <c r="F888" s="43" t="s">
        <v>560</v>
      </c>
      <c r="G888" s="31" t="str">
        <f t="shared" si="14"/>
        <v/>
      </c>
      <c r="H888" s="35"/>
      <c r="I888" s="31"/>
      <c r="J888" s="155">
        <v>0</v>
      </c>
    </row>
    <row r="889" spans="1:10" ht="15" hidden="1" thickBot="1" x14ac:dyDescent="0.35">
      <c r="A889" s="229"/>
      <c r="B889" s="224"/>
      <c r="C889" s="36" t="s">
        <v>68</v>
      </c>
      <c r="D889" s="36" t="s">
        <v>12</v>
      </c>
      <c r="E889" s="37">
        <f>2.2/2</f>
        <v>1.1000000000000001</v>
      </c>
      <c r="F889" s="31">
        <v>18.861499999999999</v>
      </c>
      <c r="G889" s="34">
        <f t="shared" si="14"/>
        <v>20.74765</v>
      </c>
      <c r="H889" s="39">
        <f>SUM(G889:G890)</f>
        <v>37.213000000000001</v>
      </c>
      <c r="I889" s="40"/>
      <c r="J889" s="155">
        <v>0</v>
      </c>
    </row>
    <row r="890" spans="1:10" ht="15" hidden="1" thickBot="1" x14ac:dyDescent="0.35">
      <c r="A890" s="229"/>
      <c r="B890" s="224"/>
      <c r="C890" s="36" t="s">
        <v>23</v>
      </c>
      <c r="D890" s="47" t="s">
        <v>12</v>
      </c>
      <c r="E890" s="37">
        <f>2.2/2</f>
        <v>1.1000000000000001</v>
      </c>
      <c r="F890" s="31">
        <v>14.968499999999999</v>
      </c>
      <c r="G890" s="34">
        <f t="shared" si="14"/>
        <v>16.465350000000001</v>
      </c>
      <c r="H890" s="35"/>
      <c r="I890" s="31"/>
      <c r="J890" s="155">
        <v>0</v>
      </c>
    </row>
    <row r="891" spans="1:10" ht="15" hidden="1" thickBot="1" x14ac:dyDescent="0.35">
      <c r="A891" s="230"/>
      <c r="B891" s="225"/>
      <c r="C891" s="36"/>
      <c r="D891" s="36"/>
      <c r="E891" s="37"/>
      <c r="F891" s="31" t="s">
        <v>560</v>
      </c>
      <c r="G891" s="31" t="str">
        <f t="shared" si="14"/>
        <v/>
      </c>
      <c r="H891" s="35"/>
      <c r="I891" s="31"/>
      <c r="J891" s="155">
        <v>0</v>
      </c>
    </row>
    <row r="892" spans="1:10" ht="15" hidden="1" thickBot="1" x14ac:dyDescent="0.35">
      <c r="A892" s="226" t="s">
        <v>314</v>
      </c>
      <c r="B892" s="223" t="e">
        <f>INDEX(#REF!,MATCH(Composições!A892,#REF!,0),2)</f>
        <v>#REF!</v>
      </c>
      <c r="C892" s="41"/>
      <c r="D892" s="26" t="e">
        <f>TRIM(INDEX(#REF!,MATCH(Composições!A892,#REF!,0),1))</f>
        <v>#REF!</v>
      </c>
      <c r="E892" s="27"/>
      <c r="F892" s="42" t="s">
        <v>560</v>
      </c>
      <c r="G892" s="28" t="str">
        <f t="shared" si="14"/>
        <v/>
      </c>
      <c r="H892" s="29"/>
      <c r="I892" s="30"/>
      <c r="J892" s="155">
        <v>0</v>
      </c>
    </row>
    <row r="893" spans="1:10" ht="15" hidden="1" thickBot="1" x14ac:dyDescent="0.35">
      <c r="A893" s="229"/>
      <c r="B893" s="224"/>
      <c r="C893" s="32"/>
      <c r="D893" s="32"/>
      <c r="E893" s="33"/>
      <c r="F893" s="43" t="s">
        <v>560</v>
      </c>
      <c r="G893" s="31" t="str">
        <f t="shared" si="14"/>
        <v/>
      </c>
      <c r="H893" s="35"/>
      <c r="I893" s="31"/>
      <c r="J893" s="155">
        <v>0</v>
      </c>
    </row>
    <row r="894" spans="1:10" ht="15" hidden="1" thickBot="1" x14ac:dyDescent="0.35">
      <c r="A894" s="229"/>
      <c r="B894" s="224"/>
      <c r="C894" s="36" t="s">
        <v>68</v>
      </c>
      <c r="D894" s="36" t="s">
        <v>12</v>
      </c>
      <c r="E894" s="37">
        <v>1.8180000000000001</v>
      </c>
      <c r="F894" s="31">
        <v>18.861499999999999</v>
      </c>
      <c r="G894" s="34">
        <f t="shared" si="14"/>
        <v>34.290207000000002</v>
      </c>
      <c r="H894" s="39">
        <f>SUM(G894:G897)</f>
        <v>60.739546500000003</v>
      </c>
      <c r="I894" s="40"/>
      <c r="J894" s="155">
        <v>0</v>
      </c>
    </row>
    <row r="895" spans="1:10" ht="15" hidden="1" thickBot="1" x14ac:dyDescent="0.35">
      <c r="A895" s="229"/>
      <c r="B895" s="224"/>
      <c r="C895" s="36" t="s">
        <v>23</v>
      </c>
      <c r="D895" s="47" t="s">
        <v>12</v>
      </c>
      <c r="E895" s="37">
        <v>1.7669999999999999</v>
      </c>
      <c r="F895" s="31">
        <v>14.968499999999999</v>
      </c>
      <c r="G895" s="34">
        <f t="shared" si="14"/>
        <v>26.449339499999997</v>
      </c>
      <c r="H895" s="45"/>
      <c r="I895" s="46"/>
      <c r="J895" s="155">
        <v>0</v>
      </c>
    </row>
    <row r="896" spans="1:10" ht="40.200000000000003" hidden="1" thickBot="1" x14ac:dyDescent="0.35">
      <c r="A896" s="229"/>
      <c r="B896" s="224"/>
      <c r="C896" s="36" t="s">
        <v>315</v>
      </c>
      <c r="D896" s="36" t="s">
        <v>20</v>
      </c>
      <c r="E896" s="37">
        <v>1</v>
      </c>
      <c r="F896" s="31" t="s">
        <v>560</v>
      </c>
      <c r="G896" s="31" t="str">
        <f t="shared" si="14"/>
        <v/>
      </c>
      <c r="H896" s="35"/>
      <c r="I896" s="31"/>
      <c r="J896" s="155">
        <v>0</v>
      </c>
    </row>
    <row r="897" spans="1:10" ht="15" hidden="1" thickBot="1" x14ac:dyDescent="0.35">
      <c r="A897" s="229"/>
      <c r="B897" s="224"/>
      <c r="C897" s="36" t="s">
        <v>316</v>
      </c>
      <c r="D897" s="36" t="s">
        <v>20</v>
      </c>
      <c r="E897" s="37">
        <v>1</v>
      </c>
      <c r="F897" s="31" t="s">
        <v>560</v>
      </c>
      <c r="G897" s="31" t="str">
        <f t="shared" si="14"/>
        <v/>
      </c>
      <c r="H897" s="35"/>
      <c r="I897" s="31"/>
      <c r="J897" s="155">
        <v>0</v>
      </c>
    </row>
    <row r="898" spans="1:10" ht="15" hidden="1" thickBot="1" x14ac:dyDescent="0.35">
      <c r="A898" s="230"/>
      <c r="B898" s="225"/>
      <c r="C898" s="36"/>
      <c r="D898" s="36"/>
      <c r="E898" s="37"/>
      <c r="F898" s="31" t="s">
        <v>560</v>
      </c>
      <c r="G898" s="31" t="str">
        <f t="shared" si="14"/>
        <v/>
      </c>
      <c r="H898" s="35"/>
      <c r="I898" s="31"/>
      <c r="J898" s="155">
        <v>0</v>
      </c>
    </row>
    <row r="899" spans="1:10" ht="15" hidden="1" thickBot="1" x14ac:dyDescent="0.35">
      <c r="A899" s="226" t="s">
        <v>317</v>
      </c>
      <c r="B899" s="223" t="e">
        <f>INDEX(#REF!,MATCH(Composições!A899,#REF!,0),2)</f>
        <v>#REF!</v>
      </c>
      <c r="C899" s="41"/>
      <c r="D899" s="26" t="e">
        <f>TRIM(INDEX(#REF!,MATCH(Composições!A899,#REF!,0),1))</f>
        <v>#REF!</v>
      </c>
      <c r="E899" s="27"/>
      <c r="F899" s="42" t="s">
        <v>560</v>
      </c>
      <c r="G899" s="28" t="str">
        <f t="shared" si="14"/>
        <v/>
      </c>
      <c r="H899" s="29"/>
      <c r="I899" s="30"/>
      <c r="J899" s="155">
        <v>0</v>
      </c>
    </row>
    <row r="900" spans="1:10" ht="15" hidden="1" thickBot="1" x14ac:dyDescent="0.35">
      <c r="A900" s="229"/>
      <c r="B900" s="224"/>
      <c r="C900" s="32"/>
      <c r="D900" s="32"/>
      <c r="E900" s="33"/>
      <c r="F900" s="43" t="s">
        <v>560</v>
      </c>
      <c r="G900" s="31" t="str">
        <f t="shared" si="14"/>
        <v/>
      </c>
      <c r="H900" s="35"/>
      <c r="I900" s="31"/>
      <c r="J900" s="155">
        <v>0</v>
      </c>
    </row>
    <row r="901" spans="1:10" ht="15" hidden="1" thickBot="1" x14ac:dyDescent="0.35">
      <c r="A901" s="229"/>
      <c r="B901" s="224"/>
      <c r="C901" s="36" t="s">
        <v>50</v>
      </c>
      <c r="D901" s="36" t="s">
        <v>12</v>
      </c>
      <c r="E901" s="37">
        <f>ROUND(1/3,4)</f>
        <v>0.33329999999999999</v>
      </c>
      <c r="F901" s="31">
        <v>17.815999999999999</v>
      </c>
      <c r="G901" s="34">
        <f t="shared" si="14"/>
        <v>5.9380727999999996</v>
      </c>
      <c r="H901" s="39">
        <f>SUM(G901:G901)</f>
        <v>5.9380727999999996</v>
      </c>
      <c r="I901" s="40"/>
      <c r="J901" s="155">
        <v>0</v>
      </c>
    </row>
    <row r="902" spans="1:10" ht="15" hidden="1" thickBot="1" x14ac:dyDescent="0.35">
      <c r="A902" s="230"/>
      <c r="B902" s="225"/>
      <c r="C902" s="36"/>
      <c r="D902" s="36"/>
      <c r="E902" s="37"/>
      <c r="F902" s="31" t="s">
        <v>560</v>
      </c>
      <c r="G902" s="31" t="str">
        <f t="shared" si="14"/>
        <v/>
      </c>
      <c r="H902" s="35"/>
      <c r="I902" s="31"/>
      <c r="J902" s="155">
        <v>0</v>
      </c>
    </row>
    <row r="903" spans="1:10" ht="15" hidden="1" thickBot="1" x14ac:dyDescent="0.35">
      <c r="A903" s="226" t="s">
        <v>318</v>
      </c>
      <c r="B903" s="223" t="e">
        <f>INDEX(#REF!,MATCH(Composições!A903,#REF!,0),2)</f>
        <v>#REF!</v>
      </c>
      <c r="C903" s="41"/>
      <c r="D903" s="26" t="e">
        <f>TRIM(INDEX(#REF!,MATCH(Composições!A903,#REF!,0),1))</f>
        <v>#REF!</v>
      </c>
      <c r="E903" s="27"/>
      <c r="F903" s="42" t="s">
        <v>560</v>
      </c>
      <c r="G903" s="28" t="str">
        <f t="shared" si="14"/>
        <v/>
      </c>
      <c r="H903" s="29"/>
      <c r="I903" s="30"/>
      <c r="J903" s="155">
        <v>0</v>
      </c>
    </row>
    <row r="904" spans="1:10" ht="15" hidden="1" thickBot="1" x14ac:dyDescent="0.35">
      <c r="A904" s="229"/>
      <c r="B904" s="224"/>
      <c r="C904" s="32"/>
      <c r="D904" s="32"/>
      <c r="E904" s="33"/>
      <c r="F904" s="43" t="s">
        <v>560</v>
      </c>
      <c r="G904" s="31" t="str">
        <f t="shared" si="14"/>
        <v/>
      </c>
      <c r="H904" s="35"/>
      <c r="I904" s="31"/>
      <c r="J904" s="155">
        <v>0</v>
      </c>
    </row>
    <row r="905" spans="1:10" ht="15" hidden="1" thickBot="1" x14ac:dyDescent="0.35">
      <c r="A905" s="229"/>
      <c r="B905" s="224"/>
      <c r="C905" s="36" t="s">
        <v>39</v>
      </c>
      <c r="D905" s="47" t="s">
        <v>12</v>
      </c>
      <c r="E905" s="37">
        <v>0.2</v>
      </c>
      <c r="F905" s="31">
        <v>19.898499999999999</v>
      </c>
      <c r="G905" s="34">
        <f t="shared" si="14"/>
        <v>3.9796999999999998</v>
      </c>
      <c r="H905" s="39">
        <f>SUM(G905:G907)</f>
        <v>6.4446999999999992</v>
      </c>
      <c r="I905" s="40"/>
      <c r="J905" s="155">
        <v>0</v>
      </c>
    </row>
    <row r="906" spans="1:10" ht="15" hidden="1" thickBot="1" x14ac:dyDescent="0.35">
      <c r="A906" s="229"/>
      <c r="B906" s="224"/>
      <c r="C906" s="36" t="s">
        <v>319</v>
      </c>
      <c r="D906" s="47" t="s">
        <v>20</v>
      </c>
      <c r="E906" s="37">
        <v>1</v>
      </c>
      <c r="F906" s="34">
        <v>2.4649999999999999</v>
      </c>
      <c r="G906" s="54">
        <f t="shared" si="14"/>
        <v>2.4649999999999999</v>
      </c>
      <c r="H906" s="35"/>
      <c r="I906" s="31"/>
      <c r="J906" s="155">
        <v>0</v>
      </c>
    </row>
    <row r="907" spans="1:10" ht="27" hidden="1" thickBot="1" x14ac:dyDescent="0.35">
      <c r="A907" s="229"/>
      <c r="B907" s="224"/>
      <c r="C907" s="36" t="s">
        <v>320</v>
      </c>
      <c r="D907" s="36" t="s">
        <v>20</v>
      </c>
      <c r="E907" s="37">
        <v>1</v>
      </c>
      <c r="F907" s="34" t="s">
        <v>560</v>
      </c>
      <c r="G907" s="31" t="str">
        <f t="shared" si="14"/>
        <v/>
      </c>
      <c r="H907" s="35"/>
      <c r="I907" s="31"/>
      <c r="J907" s="155">
        <v>0</v>
      </c>
    </row>
    <row r="908" spans="1:10" ht="15" hidden="1" thickBot="1" x14ac:dyDescent="0.35">
      <c r="A908" s="230"/>
      <c r="B908" s="225"/>
      <c r="C908" s="36"/>
      <c r="D908" s="36"/>
      <c r="E908" s="37"/>
      <c r="F908" s="31" t="s">
        <v>560</v>
      </c>
      <c r="G908" s="31" t="str">
        <f t="shared" si="14"/>
        <v/>
      </c>
      <c r="H908" s="35"/>
      <c r="I908" s="31"/>
      <c r="J908" s="155">
        <v>0</v>
      </c>
    </row>
    <row r="909" spans="1:10" ht="15" thickBot="1" x14ac:dyDescent="0.35">
      <c r="A909" s="226" t="s">
        <v>321</v>
      </c>
      <c r="B909" s="223" t="str">
        <f>INDEX(Orçamentária!A:B,MATCH(Composições!A909,Orçamentária!A:A,0),2)</f>
        <v>Tubo PVC esgoto ou aguas pluviais predial DN 100mm</v>
      </c>
      <c r="C909" s="41"/>
      <c r="D909" s="26" t="str">
        <f>TRIM(INDEX(Orçamentária!C:C,MATCH(Composições!A909,Orçamentária!A:A,0),1))</f>
        <v>m</v>
      </c>
      <c r="E909" s="27"/>
      <c r="F909" s="42" t="s">
        <v>560</v>
      </c>
      <c r="G909" s="28" t="str">
        <f t="shared" si="14"/>
        <v/>
      </c>
      <c r="H909" s="29"/>
      <c r="I909" s="30"/>
      <c r="J909" s="155">
        <v>8</v>
      </c>
    </row>
    <row r="910" spans="1:10" x14ac:dyDescent="0.3">
      <c r="A910" s="229"/>
      <c r="B910" s="224"/>
      <c r="C910" s="32"/>
      <c r="D910" s="32"/>
      <c r="E910" s="33"/>
      <c r="F910" s="43" t="s">
        <v>560</v>
      </c>
      <c r="G910" s="31" t="str">
        <f t="shared" si="14"/>
        <v/>
      </c>
      <c r="H910" s="35"/>
      <c r="I910" s="31"/>
      <c r="J910" s="155">
        <v>8</v>
      </c>
    </row>
    <row r="911" spans="1:10" x14ac:dyDescent="0.3">
      <c r="A911" s="229"/>
      <c r="B911" s="224"/>
      <c r="C911" s="36" t="s">
        <v>322</v>
      </c>
      <c r="D911" s="47" t="s">
        <v>20</v>
      </c>
      <c r="E911" s="37">
        <v>4.2900000000000001E-2</v>
      </c>
      <c r="F911" s="34">
        <v>67.566499999999991</v>
      </c>
      <c r="G911" s="34">
        <f t="shared" si="14"/>
        <v>2.8986028499999996</v>
      </c>
      <c r="H911" s="39">
        <f>SUM(G911:G916)</f>
        <v>53.193020400000002</v>
      </c>
      <c r="I911" s="40"/>
      <c r="J911" s="155">
        <v>8</v>
      </c>
    </row>
    <row r="912" spans="1:10" ht="26.4" x14ac:dyDescent="0.3">
      <c r="A912" s="229"/>
      <c r="B912" s="224"/>
      <c r="C912" s="36" t="s">
        <v>2066</v>
      </c>
      <c r="D912" s="47" t="s">
        <v>93</v>
      </c>
      <c r="E912" s="37">
        <v>1.04</v>
      </c>
      <c r="F912" s="34">
        <v>28.993499999999997</v>
      </c>
      <c r="G912" s="34">
        <f t="shared" si="14"/>
        <v>30.153239999999997</v>
      </c>
      <c r="H912" s="45"/>
      <c r="I912" s="46"/>
      <c r="J912" s="155">
        <v>8</v>
      </c>
    </row>
    <row r="913" spans="1:10" x14ac:dyDescent="0.3">
      <c r="A913" s="229"/>
      <c r="B913" s="224"/>
      <c r="C913" s="36" t="s">
        <v>323</v>
      </c>
      <c r="D913" s="47" t="s">
        <v>20</v>
      </c>
      <c r="E913" s="37">
        <v>7.0099999999999996E-2</v>
      </c>
      <c r="F913" s="34">
        <v>58.6755</v>
      </c>
      <c r="G913" s="34">
        <f t="shared" si="14"/>
        <v>4.1131525499999997</v>
      </c>
      <c r="H913" s="45"/>
      <c r="I913" s="46"/>
      <c r="J913" s="155">
        <v>8</v>
      </c>
    </row>
    <row r="914" spans="1:10" x14ac:dyDescent="0.3">
      <c r="A914" s="229"/>
      <c r="B914" s="224"/>
      <c r="C914" s="36" t="s">
        <v>324</v>
      </c>
      <c r="D914" s="47" t="s">
        <v>20</v>
      </c>
      <c r="E914" s="37">
        <v>0.14849999999999999</v>
      </c>
      <c r="F914" s="34">
        <v>1.87</v>
      </c>
      <c r="G914" s="34">
        <f t="shared" ref="G914:G977" si="15">IF(ISNUMBER(F914),E914*F914,"")</f>
        <v>0.27769500000000003</v>
      </c>
      <c r="H914" s="45"/>
      <c r="I914" s="46"/>
      <c r="J914" s="155">
        <v>8</v>
      </c>
    </row>
    <row r="915" spans="1:10" x14ac:dyDescent="0.3">
      <c r="A915" s="229"/>
      <c r="B915" s="224"/>
      <c r="C915" s="36" t="s">
        <v>108</v>
      </c>
      <c r="D915" s="47" t="s">
        <v>12</v>
      </c>
      <c r="E915" s="37">
        <v>0.44500000000000001</v>
      </c>
      <c r="F915" s="31">
        <v>15.4955</v>
      </c>
      <c r="G915" s="34">
        <f t="shared" si="15"/>
        <v>6.8954975000000003</v>
      </c>
      <c r="H915" s="45"/>
      <c r="I915" s="46"/>
      <c r="J915" s="155">
        <v>8</v>
      </c>
    </row>
    <row r="916" spans="1:10" x14ac:dyDescent="0.3">
      <c r="A916" s="229"/>
      <c r="B916" s="224"/>
      <c r="C916" s="36" t="s">
        <v>39</v>
      </c>
      <c r="D916" s="47" t="s">
        <v>12</v>
      </c>
      <c r="E916" s="37">
        <v>0.44500000000000001</v>
      </c>
      <c r="F916" s="31">
        <v>19.898499999999999</v>
      </c>
      <c r="G916" s="34">
        <f t="shared" si="15"/>
        <v>8.8548324999999988</v>
      </c>
      <c r="H916" s="45"/>
      <c r="I916" s="46"/>
      <c r="J916" s="155">
        <v>8</v>
      </c>
    </row>
    <row r="917" spans="1:10" ht="15" thickBot="1" x14ac:dyDescent="0.35">
      <c r="A917" s="230"/>
      <c r="B917" s="225"/>
      <c r="C917" s="36"/>
      <c r="D917" s="36"/>
      <c r="E917" s="37"/>
      <c r="F917" s="31" t="s">
        <v>560</v>
      </c>
      <c r="G917" s="31" t="str">
        <f t="shared" si="15"/>
        <v/>
      </c>
      <c r="H917" s="35"/>
      <c r="I917" s="31"/>
      <c r="J917" s="155">
        <v>8</v>
      </c>
    </row>
    <row r="918" spans="1:10" ht="15" hidden="1" thickBot="1" x14ac:dyDescent="0.35">
      <c r="A918" s="226" t="s">
        <v>325</v>
      </c>
      <c r="B918" s="223" t="e">
        <f>INDEX(#REF!,MATCH(Composições!A918,#REF!,0),2)</f>
        <v>#REF!</v>
      </c>
      <c r="C918" s="41"/>
      <c r="D918" s="26" t="e">
        <f>TRIM(INDEX(#REF!,MATCH(Composições!A918,#REF!,0),1))</f>
        <v>#REF!</v>
      </c>
      <c r="E918" s="27"/>
      <c r="F918" s="42" t="s">
        <v>560</v>
      </c>
      <c r="G918" s="28" t="str">
        <f t="shared" si="15"/>
        <v/>
      </c>
      <c r="H918" s="29"/>
      <c r="I918" s="30"/>
      <c r="J918" s="155">
        <v>0</v>
      </c>
    </row>
    <row r="919" spans="1:10" ht="15" hidden="1" thickBot="1" x14ac:dyDescent="0.35">
      <c r="A919" s="229"/>
      <c r="B919" s="224"/>
      <c r="C919" s="32"/>
      <c r="D919" s="32"/>
      <c r="E919" s="33"/>
      <c r="F919" s="43" t="s">
        <v>560</v>
      </c>
      <c r="G919" s="31" t="str">
        <f t="shared" si="15"/>
        <v/>
      </c>
      <c r="H919" s="35"/>
      <c r="I919" s="31"/>
      <c r="J919" s="155">
        <v>0</v>
      </c>
    </row>
    <row r="920" spans="1:10" ht="27" hidden="1" thickBot="1" x14ac:dyDescent="0.35">
      <c r="A920" s="229"/>
      <c r="B920" s="224"/>
      <c r="C920" s="36" t="s">
        <v>2068</v>
      </c>
      <c r="D920" s="47" t="s">
        <v>93</v>
      </c>
      <c r="E920" s="37">
        <v>1.04</v>
      </c>
      <c r="F920" s="34">
        <v>10.1235</v>
      </c>
      <c r="G920" s="34">
        <f t="shared" si="15"/>
        <v>10.52844</v>
      </c>
      <c r="H920" s="39">
        <f>SUM(G920:G923)</f>
        <v>16.437640000000002</v>
      </c>
      <c r="I920" s="40"/>
      <c r="J920" s="155">
        <v>0</v>
      </c>
    </row>
    <row r="921" spans="1:10" ht="15" hidden="1" thickBot="1" x14ac:dyDescent="0.35">
      <c r="A921" s="229"/>
      <c r="B921" s="224"/>
      <c r="C921" s="36" t="s">
        <v>324</v>
      </c>
      <c r="D921" s="47" t="s">
        <v>20</v>
      </c>
      <c r="E921" s="37">
        <v>3.6999999999999998E-2</v>
      </c>
      <c r="F921" s="34">
        <v>1.87</v>
      </c>
      <c r="G921" s="34">
        <f t="shared" si="15"/>
        <v>6.9190000000000002E-2</v>
      </c>
      <c r="H921" s="35"/>
      <c r="I921" s="31"/>
      <c r="J921" s="155">
        <v>0</v>
      </c>
    </row>
    <row r="922" spans="1:10" ht="15" hidden="1" thickBot="1" x14ac:dyDescent="0.35">
      <c r="A922" s="229"/>
      <c r="B922" s="224"/>
      <c r="C922" s="36" t="s">
        <v>108</v>
      </c>
      <c r="D922" s="47" t="s">
        <v>12</v>
      </c>
      <c r="E922" s="37">
        <v>0.16500000000000001</v>
      </c>
      <c r="F922" s="31">
        <v>15.4955</v>
      </c>
      <c r="G922" s="34">
        <f t="shared" si="15"/>
        <v>2.5567575000000002</v>
      </c>
      <c r="H922" s="35"/>
      <c r="I922" s="31"/>
      <c r="J922" s="155">
        <v>0</v>
      </c>
    </row>
    <row r="923" spans="1:10" ht="15" hidden="1" thickBot="1" x14ac:dyDescent="0.35">
      <c r="A923" s="229"/>
      <c r="B923" s="224"/>
      <c r="C923" s="36" t="s">
        <v>39</v>
      </c>
      <c r="D923" s="47" t="s">
        <v>12</v>
      </c>
      <c r="E923" s="37">
        <v>0.16500000000000001</v>
      </c>
      <c r="F923" s="31">
        <v>19.898499999999999</v>
      </c>
      <c r="G923" s="34">
        <f t="shared" si="15"/>
        <v>3.2832525000000001</v>
      </c>
      <c r="H923" s="35"/>
      <c r="I923" s="31"/>
      <c r="J923" s="155">
        <v>0</v>
      </c>
    </row>
    <row r="924" spans="1:10" ht="15" hidden="1" thickBot="1" x14ac:dyDescent="0.35">
      <c r="A924" s="230"/>
      <c r="B924" s="225"/>
      <c r="C924" s="36"/>
      <c r="D924" s="36"/>
      <c r="E924" s="37"/>
      <c r="F924" s="31" t="s">
        <v>560</v>
      </c>
      <c r="G924" s="31" t="str">
        <f t="shared" si="15"/>
        <v/>
      </c>
      <c r="H924" s="35"/>
      <c r="I924" s="31"/>
      <c r="J924" s="155">
        <v>0</v>
      </c>
    </row>
    <row r="925" spans="1:10" ht="15" hidden="1" thickBot="1" x14ac:dyDescent="0.35">
      <c r="A925" s="226" t="s">
        <v>326</v>
      </c>
      <c r="B925" s="223" t="e">
        <f>INDEX(#REF!,MATCH(Composições!A925,#REF!,0),2)</f>
        <v>#REF!</v>
      </c>
      <c r="C925" s="41"/>
      <c r="D925" s="26" t="e">
        <f>TRIM(INDEX(#REF!,MATCH(Composições!A925,#REF!,0),1))</f>
        <v>#REF!</v>
      </c>
      <c r="E925" s="27"/>
      <c r="F925" s="42" t="s">
        <v>560</v>
      </c>
      <c r="G925" s="28" t="str">
        <f t="shared" si="15"/>
        <v/>
      </c>
      <c r="H925" s="29"/>
      <c r="I925" s="30"/>
      <c r="J925" s="155">
        <v>0</v>
      </c>
    </row>
    <row r="926" spans="1:10" ht="15" hidden="1" thickBot="1" x14ac:dyDescent="0.35">
      <c r="A926" s="229"/>
      <c r="B926" s="224"/>
      <c r="C926" s="32"/>
      <c r="D926" s="32"/>
      <c r="E926" s="33"/>
      <c r="F926" s="43" t="s">
        <v>560</v>
      </c>
      <c r="G926" s="31" t="str">
        <f t="shared" si="15"/>
        <v/>
      </c>
      <c r="H926" s="35"/>
      <c r="I926" s="31"/>
      <c r="J926" s="155">
        <v>0</v>
      </c>
    </row>
    <row r="927" spans="1:10" ht="15" hidden="1" thickBot="1" x14ac:dyDescent="0.35">
      <c r="A927" s="229"/>
      <c r="B927" s="224"/>
      <c r="C927" s="36" t="s">
        <v>322</v>
      </c>
      <c r="D927" s="47" t="s">
        <v>20</v>
      </c>
      <c r="E927" s="37">
        <v>1.2800000000000001E-2</v>
      </c>
      <c r="F927" s="34">
        <v>67.566499999999991</v>
      </c>
      <c r="G927" s="34">
        <f t="shared" si="15"/>
        <v>0.86485119999999993</v>
      </c>
      <c r="H927" s="39">
        <f>SUM(G927:G932)</f>
        <v>22.626618350000001</v>
      </c>
      <c r="I927" s="40"/>
      <c r="J927" s="155">
        <v>0</v>
      </c>
    </row>
    <row r="928" spans="1:10" ht="27" hidden="1" thickBot="1" x14ac:dyDescent="0.35">
      <c r="A928" s="229"/>
      <c r="B928" s="224"/>
      <c r="C928" s="36" t="s">
        <v>2069</v>
      </c>
      <c r="D928" s="47" t="s">
        <v>93</v>
      </c>
      <c r="E928" s="37">
        <v>1.04</v>
      </c>
      <c r="F928" s="34">
        <v>12.622499999999999</v>
      </c>
      <c r="G928" s="34">
        <f t="shared" si="15"/>
        <v>13.1274</v>
      </c>
      <c r="H928" s="35"/>
      <c r="I928" s="31"/>
      <c r="J928" s="155">
        <v>0</v>
      </c>
    </row>
    <row r="929" spans="1:10" ht="15" hidden="1" thickBot="1" x14ac:dyDescent="0.35">
      <c r="A929" s="229"/>
      <c r="B929" s="224"/>
      <c r="C929" s="36" t="s">
        <v>323</v>
      </c>
      <c r="D929" s="47" t="s">
        <v>20</v>
      </c>
      <c r="E929" s="37">
        <v>1.9300000000000001E-2</v>
      </c>
      <c r="F929" s="34">
        <v>58.6755</v>
      </c>
      <c r="G929" s="34">
        <f t="shared" si="15"/>
        <v>1.1324371500000001</v>
      </c>
      <c r="H929" s="35"/>
      <c r="I929" s="31"/>
      <c r="J929" s="155">
        <v>0</v>
      </c>
    </row>
    <row r="930" spans="1:10" ht="15" hidden="1" thickBot="1" x14ac:dyDescent="0.35">
      <c r="A930" s="229"/>
      <c r="B930" s="224"/>
      <c r="C930" s="36" t="s">
        <v>324</v>
      </c>
      <c r="D930" s="47" t="s">
        <v>20</v>
      </c>
      <c r="E930" s="37">
        <v>3.6999999999999998E-2</v>
      </c>
      <c r="F930" s="34">
        <v>1.87</v>
      </c>
      <c r="G930" s="34">
        <f t="shared" si="15"/>
        <v>6.9190000000000002E-2</v>
      </c>
      <c r="H930" s="35"/>
      <c r="I930" s="31"/>
      <c r="J930" s="155">
        <v>0</v>
      </c>
    </row>
    <row r="931" spans="1:10" ht="15" hidden="1" thickBot="1" x14ac:dyDescent="0.35">
      <c r="A931" s="229"/>
      <c r="B931" s="224"/>
      <c r="C931" s="36" t="s">
        <v>108</v>
      </c>
      <c r="D931" s="47" t="s">
        <v>12</v>
      </c>
      <c r="E931" s="37">
        <v>0.21</v>
      </c>
      <c r="F931" s="31">
        <v>15.4955</v>
      </c>
      <c r="G931" s="34">
        <f t="shared" si="15"/>
        <v>3.2540549999999997</v>
      </c>
      <c r="H931" s="35"/>
      <c r="I931" s="31"/>
      <c r="J931" s="155">
        <v>0</v>
      </c>
    </row>
    <row r="932" spans="1:10" ht="15" hidden="1" thickBot="1" x14ac:dyDescent="0.35">
      <c r="A932" s="229"/>
      <c r="B932" s="224"/>
      <c r="C932" s="36" t="s">
        <v>39</v>
      </c>
      <c r="D932" s="47" t="s">
        <v>12</v>
      </c>
      <c r="E932" s="37">
        <v>0.21</v>
      </c>
      <c r="F932" s="31">
        <v>19.898499999999999</v>
      </c>
      <c r="G932" s="34">
        <f t="shared" si="15"/>
        <v>4.1786849999999998</v>
      </c>
      <c r="H932" s="35"/>
      <c r="I932" s="31"/>
      <c r="J932" s="155">
        <v>0</v>
      </c>
    </row>
    <row r="933" spans="1:10" ht="15" hidden="1" thickBot="1" x14ac:dyDescent="0.35">
      <c r="A933" s="230"/>
      <c r="B933" s="225"/>
      <c r="C933" s="36"/>
      <c r="D933" s="36"/>
      <c r="E933" s="37"/>
      <c r="F933" s="31" t="s">
        <v>560</v>
      </c>
      <c r="G933" s="31" t="str">
        <f t="shared" si="15"/>
        <v/>
      </c>
      <c r="H933" s="35"/>
      <c r="I933" s="31"/>
      <c r="J933" s="155">
        <v>0</v>
      </c>
    </row>
    <row r="934" spans="1:10" ht="15" thickBot="1" x14ac:dyDescent="0.35">
      <c r="A934" s="226" t="s">
        <v>327</v>
      </c>
      <c r="B934" s="223" t="str">
        <f>INDEX(Orçamentária!A:B,MATCH(Composições!A934,Orçamentária!A:A,0),2)</f>
        <v>Tubo PVC esgoto ou aguas pluviais predial DN 75mm</v>
      </c>
      <c r="C934" s="41"/>
      <c r="D934" s="26" t="str">
        <f>TRIM(INDEX(Orçamentária!C:C,MATCH(Composições!A934,Orçamentária!A:A,0),1))</f>
        <v>m</v>
      </c>
      <c r="E934" s="27"/>
      <c r="F934" s="42" t="s">
        <v>560</v>
      </c>
      <c r="G934" s="28" t="str">
        <f t="shared" si="15"/>
        <v/>
      </c>
      <c r="H934" s="29"/>
      <c r="I934" s="30"/>
      <c r="J934" s="155">
        <v>21</v>
      </c>
    </row>
    <row r="935" spans="1:10" x14ac:dyDescent="0.3">
      <c r="A935" s="229"/>
      <c r="B935" s="224"/>
      <c r="C935" s="32"/>
      <c r="D935" s="32"/>
      <c r="E935" s="33"/>
      <c r="F935" s="43" t="s">
        <v>560</v>
      </c>
      <c r="G935" s="31" t="str">
        <f t="shared" si="15"/>
        <v/>
      </c>
      <c r="H935" s="35"/>
      <c r="I935" s="31"/>
      <c r="J935" s="155">
        <v>21</v>
      </c>
    </row>
    <row r="936" spans="1:10" x14ac:dyDescent="0.3">
      <c r="A936" s="229"/>
      <c r="B936" s="224"/>
      <c r="C936" s="36" t="s">
        <v>322</v>
      </c>
      <c r="D936" s="47" t="s">
        <v>20</v>
      </c>
      <c r="E936" s="37">
        <v>2.93E-2</v>
      </c>
      <c r="F936" s="34">
        <v>67.566499999999991</v>
      </c>
      <c r="G936" s="34">
        <f t="shared" si="15"/>
        <v>1.9796984499999997</v>
      </c>
      <c r="H936" s="39">
        <f>SUM(G936:G941)</f>
        <v>33.566858699999997</v>
      </c>
      <c r="I936" s="40"/>
      <c r="J936" s="155">
        <v>21</v>
      </c>
    </row>
    <row r="937" spans="1:10" ht="26.4" x14ac:dyDescent="0.3">
      <c r="A937" s="229"/>
      <c r="B937" s="224"/>
      <c r="C937" s="36" t="s">
        <v>2070</v>
      </c>
      <c r="D937" s="47" t="s">
        <v>93</v>
      </c>
      <c r="E937" s="37">
        <v>1.04</v>
      </c>
      <c r="F937" s="34">
        <v>16.549499999999998</v>
      </c>
      <c r="G937" s="34">
        <f t="shared" si="15"/>
        <v>17.211479999999998</v>
      </c>
      <c r="H937" s="45"/>
      <c r="I937" s="46"/>
      <c r="J937" s="155">
        <v>21</v>
      </c>
    </row>
    <row r="938" spans="1:10" x14ac:dyDescent="0.3">
      <c r="A938" s="229"/>
      <c r="B938" s="224"/>
      <c r="C938" s="36" t="s">
        <v>323</v>
      </c>
      <c r="D938" s="47" t="s">
        <v>20</v>
      </c>
      <c r="E938" s="37">
        <v>4.5499999999999999E-2</v>
      </c>
      <c r="F938" s="34">
        <v>58.6755</v>
      </c>
      <c r="G938" s="34">
        <f t="shared" si="15"/>
        <v>2.66973525</v>
      </c>
      <c r="H938" s="45"/>
      <c r="I938" s="46"/>
      <c r="J938" s="155">
        <v>21</v>
      </c>
    </row>
    <row r="939" spans="1:10" x14ac:dyDescent="0.3">
      <c r="A939" s="229"/>
      <c r="B939" s="224"/>
      <c r="C939" s="36" t="s">
        <v>324</v>
      </c>
      <c r="D939" s="47" t="s">
        <v>20</v>
      </c>
      <c r="E939" s="37">
        <v>0.1085</v>
      </c>
      <c r="F939" s="34">
        <v>1.87</v>
      </c>
      <c r="G939" s="34">
        <f t="shared" si="15"/>
        <v>0.20289500000000002</v>
      </c>
      <c r="H939" s="45"/>
      <c r="I939" s="46"/>
      <c r="J939" s="155">
        <v>21</v>
      </c>
    </row>
    <row r="940" spans="1:10" x14ac:dyDescent="0.3">
      <c r="A940" s="229"/>
      <c r="B940" s="224"/>
      <c r="C940" s="36" t="s">
        <v>108</v>
      </c>
      <c r="D940" s="47" t="s">
        <v>12</v>
      </c>
      <c r="E940" s="37">
        <v>0.32500000000000001</v>
      </c>
      <c r="F940" s="31">
        <v>15.4955</v>
      </c>
      <c r="G940" s="34">
        <f t="shared" si="15"/>
        <v>5.0360374999999999</v>
      </c>
      <c r="H940" s="45"/>
      <c r="I940" s="46"/>
      <c r="J940" s="155">
        <v>21</v>
      </c>
    </row>
    <row r="941" spans="1:10" x14ac:dyDescent="0.3">
      <c r="A941" s="229"/>
      <c r="B941" s="224"/>
      <c r="C941" s="36" t="s">
        <v>39</v>
      </c>
      <c r="D941" s="47" t="s">
        <v>12</v>
      </c>
      <c r="E941" s="37">
        <v>0.32500000000000001</v>
      </c>
      <c r="F941" s="31">
        <v>19.898499999999999</v>
      </c>
      <c r="G941" s="34">
        <f t="shared" si="15"/>
        <v>6.4670125000000001</v>
      </c>
      <c r="H941" s="45"/>
      <c r="I941" s="46"/>
      <c r="J941" s="155">
        <v>21</v>
      </c>
    </row>
    <row r="942" spans="1:10" ht="15" thickBot="1" x14ac:dyDescent="0.35">
      <c r="A942" s="230"/>
      <c r="B942" s="225"/>
      <c r="C942" s="36"/>
      <c r="D942" s="36"/>
      <c r="E942" s="37"/>
      <c r="F942" s="31" t="s">
        <v>560</v>
      </c>
      <c r="G942" s="31" t="str">
        <f t="shared" si="15"/>
        <v/>
      </c>
      <c r="H942" s="35"/>
      <c r="I942" s="31"/>
      <c r="J942" s="155">
        <v>21</v>
      </c>
    </row>
    <row r="943" spans="1:10" ht="15" hidden="1" thickBot="1" x14ac:dyDescent="0.35">
      <c r="A943" s="226" t="s">
        <v>328</v>
      </c>
      <c r="B943" s="223" t="e">
        <f>INDEX(#REF!,MATCH(Composições!A943,#REF!,0),2)</f>
        <v>#REF!</v>
      </c>
      <c r="C943" s="41"/>
      <c r="D943" s="26" t="e">
        <f>TRIM(INDEX(#REF!,MATCH(Composições!A943,#REF!,0),1))</f>
        <v>#REF!</v>
      </c>
      <c r="E943" s="27"/>
      <c r="F943" s="42" t="s">
        <v>560</v>
      </c>
      <c r="G943" s="28" t="str">
        <f t="shared" si="15"/>
        <v/>
      </c>
      <c r="H943" s="29"/>
      <c r="I943" s="30"/>
      <c r="J943" s="155">
        <v>0</v>
      </c>
    </row>
    <row r="944" spans="1:10" ht="15" hidden="1" thickBot="1" x14ac:dyDescent="0.35">
      <c r="A944" s="229"/>
      <c r="B944" s="224"/>
      <c r="C944" s="32"/>
      <c r="D944" s="32"/>
      <c r="E944" s="33"/>
      <c r="F944" s="43" t="s">
        <v>560</v>
      </c>
      <c r="G944" s="31" t="str">
        <f t="shared" si="15"/>
        <v/>
      </c>
      <c r="H944" s="35"/>
      <c r="I944" s="31"/>
      <c r="J944" s="155">
        <v>0</v>
      </c>
    </row>
    <row r="945" spans="1:10" ht="15" hidden="1" thickBot="1" x14ac:dyDescent="0.35">
      <c r="A945" s="229"/>
      <c r="B945" s="224"/>
      <c r="C945" s="36" t="s">
        <v>329</v>
      </c>
      <c r="D945" s="47" t="s">
        <v>93</v>
      </c>
      <c r="E945" s="37">
        <v>1.0609999999999999</v>
      </c>
      <c r="F945" s="34">
        <v>3.4169999999999994</v>
      </c>
      <c r="G945" s="34">
        <f t="shared" si="15"/>
        <v>3.6254369999999994</v>
      </c>
      <c r="H945" s="39">
        <f>SUM(G945:G947)</f>
        <v>4.1917409999999995</v>
      </c>
      <c r="I945" s="40"/>
      <c r="J945" s="155">
        <v>0</v>
      </c>
    </row>
    <row r="946" spans="1:10" ht="15" hidden="1" thickBot="1" x14ac:dyDescent="0.35">
      <c r="A946" s="229"/>
      <c r="B946" s="224"/>
      <c r="C946" s="36" t="s">
        <v>108</v>
      </c>
      <c r="D946" s="36" t="s">
        <v>12</v>
      </c>
      <c r="E946" s="37">
        <v>1.6E-2</v>
      </c>
      <c r="F946" s="31">
        <v>15.4955</v>
      </c>
      <c r="G946" s="34">
        <f t="shared" si="15"/>
        <v>0.24792800000000001</v>
      </c>
      <c r="H946" s="35"/>
      <c r="I946" s="31"/>
      <c r="J946" s="155">
        <v>0</v>
      </c>
    </row>
    <row r="947" spans="1:10" ht="15" hidden="1" thickBot="1" x14ac:dyDescent="0.35">
      <c r="A947" s="229"/>
      <c r="B947" s="224"/>
      <c r="C947" s="36" t="s">
        <v>39</v>
      </c>
      <c r="D947" s="47" t="s">
        <v>12</v>
      </c>
      <c r="E947" s="37">
        <v>1.6E-2</v>
      </c>
      <c r="F947" s="31">
        <v>19.898499999999999</v>
      </c>
      <c r="G947" s="34">
        <f t="shared" si="15"/>
        <v>0.31837599999999999</v>
      </c>
      <c r="H947" s="35"/>
      <c r="I947" s="31"/>
      <c r="J947" s="155">
        <v>0</v>
      </c>
    </row>
    <row r="948" spans="1:10" ht="15" hidden="1" thickBot="1" x14ac:dyDescent="0.35">
      <c r="A948" s="230"/>
      <c r="B948" s="225"/>
      <c r="C948" s="36"/>
      <c r="D948" s="36"/>
      <c r="E948" s="37"/>
      <c r="F948" s="31" t="s">
        <v>560</v>
      </c>
      <c r="G948" s="31" t="str">
        <f t="shared" si="15"/>
        <v/>
      </c>
      <c r="H948" s="35"/>
      <c r="I948" s="31"/>
      <c r="J948" s="155">
        <v>0</v>
      </c>
    </row>
    <row r="949" spans="1:10" ht="15" hidden="1" thickBot="1" x14ac:dyDescent="0.35">
      <c r="A949" s="226" t="s">
        <v>330</v>
      </c>
      <c r="B949" s="223" t="e">
        <f>INDEX(#REF!,MATCH(Composições!A949,#REF!,0),2)</f>
        <v>#REF!</v>
      </c>
      <c r="C949" s="41"/>
      <c r="D949" s="26" t="e">
        <f>TRIM(INDEX(#REF!,MATCH(Composições!A949,#REF!,0),1))</f>
        <v>#REF!</v>
      </c>
      <c r="E949" s="27"/>
      <c r="F949" s="42" t="s">
        <v>560</v>
      </c>
      <c r="G949" s="28" t="str">
        <f t="shared" si="15"/>
        <v/>
      </c>
      <c r="H949" s="29"/>
      <c r="I949" s="30"/>
      <c r="J949" s="155">
        <v>0</v>
      </c>
    </row>
    <row r="950" spans="1:10" ht="15" hidden="1" thickBot="1" x14ac:dyDescent="0.35">
      <c r="A950" s="229"/>
      <c r="B950" s="224"/>
      <c r="C950" s="32"/>
      <c r="D950" s="32"/>
      <c r="E950" s="33"/>
      <c r="F950" s="43" t="s">
        <v>560</v>
      </c>
      <c r="G950" s="31" t="str">
        <f t="shared" si="15"/>
        <v/>
      </c>
      <c r="H950" s="35"/>
      <c r="I950" s="31"/>
      <c r="J950" s="155">
        <v>0</v>
      </c>
    </row>
    <row r="951" spans="1:10" ht="15" hidden="1" thickBot="1" x14ac:dyDescent="0.35">
      <c r="A951" s="229"/>
      <c r="B951" s="224"/>
      <c r="C951" s="36" t="s">
        <v>331</v>
      </c>
      <c r="D951" s="47" t="s">
        <v>93</v>
      </c>
      <c r="E951" s="37">
        <v>1.0609999999999999</v>
      </c>
      <c r="F951" s="34">
        <v>7.6754999999999995</v>
      </c>
      <c r="G951" s="34">
        <f t="shared" si="15"/>
        <v>8.1437054999999994</v>
      </c>
      <c r="H951" s="39">
        <f>SUM(G951:G953)</f>
        <v>8.8515855000000006</v>
      </c>
      <c r="I951" s="40"/>
      <c r="J951" s="155">
        <v>0</v>
      </c>
    </row>
    <row r="952" spans="1:10" ht="15" hidden="1" thickBot="1" x14ac:dyDescent="0.35">
      <c r="A952" s="229"/>
      <c r="B952" s="224"/>
      <c r="C952" s="36" t="s">
        <v>108</v>
      </c>
      <c r="D952" s="36" t="s">
        <v>12</v>
      </c>
      <c r="E952" s="37">
        <v>0.02</v>
      </c>
      <c r="F952" s="31">
        <v>15.4955</v>
      </c>
      <c r="G952" s="34">
        <f t="shared" si="15"/>
        <v>0.30991000000000002</v>
      </c>
      <c r="H952" s="35"/>
      <c r="I952" s="31"/>
      <c r="J952" s="155">
        <v>0</v>
      </c>
    </row>
    <row r="953" spans="1:10" ht="15" hidden="1" thickBot="1" x14ac:dyDescent="0.35">
      <c r="A953" s="229"/>
      <c r="B953" s="224"/>
      <c r="C953" s="36" t="s">
        <v>39</v>
      </c>
      <c r="D953" s="47" t="s">
        <v>12</v>
      </c>
      <c r="E953" s="37">
        <v>0.02</v>
      </c>
      <c r="F953" s="31">
        <v>19.898499999999999</v>
      </c>
      <c r="G953" s="34">
        <f t="shared" si="15"/>
        <v>0.39796999999999999</v>
      </c>
      <c r="H953" s="35"/>
      <c r="I953" s="31"/>
      <c r="J953" s="155">
        <v>0</v>
      </c>
    </row>
    <row r="954" spans="1:10" ht="15" hidden="1" thickBot="1" x14ac:dyDescent="0.35">
      <c r="A954" s="230"/>
      <c r="B954" s="225"/>
      <c r="C954" s="36"/>
      <c r="D954" s="36"/>
      <c r="E954" s="37"/>
      <c r="F954" s="31" t="s">
        <v>560</v>
      </c>
      <c r="G954" s="31" t="str">
        <f t="shared" si="15"/>
        <v/>
      </c>
      <c r="H954" s="35"/>
      <c r="I954" s="31"/>
      <c r="J954" s="155">
        <v>0</v>
      </c>
    </row>
    <row r="955" spans="1:10" ht="15" hidden="1" thickBot="1" x14ac:dyDescent="0.35">
      <c r="A955" s="226" t="s">
        <v>332</v>
      </c>
      <c r="B955" s="223" t="e">
        <f>INDEX(#REF!,MATCH(Composições!A955,#REF!,0),2)</f>
        <v>#REF!</v>
      </c>
      <c r="C955" s="41"/>
      <c r="D955" s="26" t="e">
        <f>TRIM(INDEX(#REF!,MATCH(Composições!A955,#REF!,0),1))</f>
        <v>#REF!</v>
      </c>
      <c r="E955" s="27"/>
      <c r="F955" s="42" t="s">
        <v>560</v>
      </c>
      <c r="G955" s="28" t="str">
        <f t="shared" si="15"/>
        <v/>
      </c>
      <c r="H955" s="29"/>
      <c r="I955" s="30"/>
      <c r="J955" s="155">
        <v>0</v>
      </c>
    </row>
    <row r="956" spans="1:10" ht="15" hidden="1" thickBot="1" x14ac:dyDescent="0.35">
      <c r="A956" s="229"/>
      <c r="B956" s="224"/>
      <c r="C956" s="32"/>
      <c r="D956" s="32"/>
      <c r="E956" s="33"/>
      <c r="F956" s="43" t="s">
        <v>560</v>
      </c>
      <c r="G956" s="31" t="str">
        <f t="shared" si="15"/>
        <v/>
      </c>
      <c r="H956" s="35"/>
      <c r="I956" s="31"/>
      <c r="J956" s="155">
        <v>0</v>
      </c>
    </row>
    <row r="957" spans="1:10" ht="15" hidden="1" thickBot="1" x14ac:dyDescent="0.35">
      <c r="A957" s="229"/>
      <c r="B957" s="224"/>
      <c r="C957" s="36" t="s">
        <v>333</v>
      </c>
      <c r="D957" s="47" t="s">
        <v>93</v>
      </c>
      <c r="E957" s="37">
        <v>1.0609999999999999</v>
      </c>
      <c r="F957" s="34">
        <v>11.169</v>
      </c>
      <c r="G957" s="34">
        <f t="shared" si="15"/>
        <v>11.850308999999999</v>
      </c>
      <c r="H957" s="39">
        <f>SUM(G957:G960)</f>
        <v>12.714725</v>
      </c>
      <c r="I957" s="40"/>
      <c r="J957" s="155">
        <v>0</v>
      </c>
    </row>
    <row r="958" spans="1:10" ht="15" hidden="1" thickBot="1" x14ac:dyDescent="0.35">
      <c r="A958" s="229"/>
      <c r="B958" s="224"/>
      <c r="C958" s="36" t="s">
        <v>324</v>
      </c>
      <c r="D958" s="47" t="s">
        <v>20</v>
      </c>
      <c r="E958" s="37">
        <v>8.0000000000000002E-3</v>
      </c>
      <c r="F958" s="34">
        <v>1.87</v>
      </c>
      <c r="G958" s="34">
        <f t="shared" si="15"/>
        <v>1.4960000000000001E-2</v>
      </c>
      <c r="H958" s="35"/>
      <c r="I958" s="31"/>
      <c r="J958" s="155">
        <v>0</v>
      </c>
    </row>
    <row r="959" spans="1:10" ht="15" hidden="1" thickBot="1" x14ac:dyDescent="0.35">
      <c r="A959" s="229"/>
      <c r="B959" s="224"/>
      <c r="C959" s="36" t="s">
        <v>108</v>
      </c>
      <c r="D959" s="36" t="s">
        <v>12</v>
      </c>
      <c r="E959" s="37">
        <v>2.4E-2</v>
      </c>
      <c r="F959" s="31">
        <v>15.4955</v>
      </c>
      <c r="G959" s="34">
        <f t="shared" si="15"/>
        <v>0.371892</v>
      </c>
      <c r="H959" s="35"/>
      <c r="I959" s="31"/>
      <c r="J959" s="155">
        <v>0</v>
      </c>
    </row>
    <row r="960" spans="1:10" ht="15" hidden="1" thickBot="1" x14ac:dyDescent="0.35">
      <c r="A960" s="229"/>
      <c r="B960" s="224"/>
      <c r="C960" s="36" t="s">
        <v>39</v>
      </c>
      <c r="D960" s="47" t="s">
        <v>12</v>
      </c>
      <c r="E960" s="37">
        <v>2.4E-2</v>
      </c>
      <c r="F960" s="31">
        <v>19.898499999999999</v>
      </c>
      <c r="G960" s="34">
        <f t="shared" si="15"/>
        <v>0.47756399999999999</v>
      </c>
      <c r="H960" s="35"/>
      <c r="I960" s="31"/>
      <c r="J960" s="155">
        <v>0</v>
      </c>
    </row>
    <row r="961" spans="1:10" ht="15" hidden="1" thickBot="1" x14ac:dyDescent="0.35">
      <c r="A961" s="230"/>
      <c r="B961" s="225"/>
      <c r="C961" s="36"/>
      <c r="D961" s="36"/>
      <c r="E961" s="37"/>
      <c r="F961" s="31" t="s">
        <v>560</v>
      </c>
      <c r="G961" s="31" t="str">
        <f t="shared" si="15"/>
        <v/>
      </c>
      <c r="H961" s="35"/>
      <c r="I961" s="31"/>
      <c r="J961" s="155">
        <v>0</v>
      </c>
    </row>
    <row r="962" spans="1:10" ht="15" hidden="1" thickBot="1" x14ac:dyDescent="0.35">
      <c r="A962" s="226" t="s">
        <v>334</v>
      </c>
      <c r="B962" s="223" t="e">
        <f>INDEX(#REF!,MATCH(Composições!A962,#REF!,0),2)</f>
        <v>#REF!</v>
      </c>
      <c r="C962" s="41"/>
      <c r="D962" s="26" t="e">
        <f>TRIM(INDEX(#REF!,MATCH(Composições!A962,#REF!,0),1))</f>
        <v>#REF!</v>
      </c>
      <c r="E962" s="27"/>
      <c r="F962" s="42" t="s">
        <v>560</v>
      </c>
      <c r="G962" s="28" t="str">
        <f t="shared" si="15"/>
        <v/>
      </c>
      <c r="H962" s="29"/>
      <c r="I962" s="30"/>
      <c r="J962" s="155">
        <v>0</v>
      </c>
    </row>
    <row r="963" spans="1:10" ht="15" hidden="1" thickBot="1" x14ac:dyDescent="0.35">
      <c r="A963" s="229"/>
      <c r="B963" s="224"/>
      <c r="C963" s="32"/>
      <c r="D963" s="32"/>
      <c r="E963" s="33"/>
      <c r="F963" s="43" t="s">
        <v>560</v>
      </c>
      <c r="G963" s="31" t="str">
        <f t="shared" si="15"/>
        <v/>
      </c>
      <c r="H963" s="35"/>
      <c r="I963" s="31"/>
      <c r="J963" s="155">
        <v>0</v>
      </c>
    </row>
    <row r="964" spans="1:10" ht="15" hidden="1" thickBot="1" x14ac:dyDescent="0.35">
      <c r="A964" s="229"/>
      <c r="B964" s="224"/>
      <c r="C964" s="36" t="s">
        <v>335</v>
      </c>
      <c r="D964" s="47" t="s">
        <v>93</v>
      </c>
      <c r="E964" s="37">
        <v>1.0609999999999999</v>
      </c>
      <c r="F964" s="34">
        <v>12.7925</v>
      </c>
      <c r="G964" s="34">
        <f t="shared" si="15"/>
        <v>13.5728425</v>
      </c>
      <c r="H964" s="39">
        <f>SUM(G964:G967)</f>
        <v>14.6179685</v>
      </c>
      <c r="I964" s="40"/>
      <c r="J964" s="155">
        <v>0</v>
      </c>
    </row>
    <row r="965" spans="1:10" ht="15" hidden="1" thickBot="1" x14ac:dyDescent="0.35">
      <c r="A965" s="229"/>
      <c r="B965" s="224"/>
      <c r="C965" s="36" t="s">
        <v>324</v>
      </c>
      <c r="D965" s="47" t="s">
        <v>20</v>
      </c>
      <c r="E965" s="37">
        <v>0.01</v>
      </c>
      <c r="F965" s="34">
        <v>1.87</v>
      </c>
      <c r="G965" s="34">
        <f t="shared" si="15"/>
        <v>1.8700000000000001E-2</v>
      </c>
      <c r="H965" s="35"/>
      <c r="I965" s="31"/>
      <c r="J965" s="155">
        <v>0</v>
      </c>
    </row>
    <row r="966" spans="1:10" ht="15" hidden="1" thickBot="1" x14ac:dyDescent="0.35">
      <c r="A966" s="229"/>
      <c r="B966" s="224"/>
      <c r="C966" s="36" t="s">
        <v>108</v>
      </c>
      <c r="D966" s="36" t="s">
        <v>12</v>
      </c>
      <c r="E966" s="37">
        <v>2.9000000000000001E-2</v>
      </c>
      <c r="F966" s="31">
        <v>15.4955</v>
      </c>
      <c r="G966" s="34">
        <f t="shared" si="15"/>
        <v>0.44936950000000003</v>
      </c>
      <c r="H966" s="35"/>
      <c r="I966" s="31"/>
      <c r="J966" s="155">
        <v>0</v>
      </c>
    </row>
    <row r="967" spans="1:10" ht="15" hidden="1" thickBot="1" x14ac:dyDescent="0.35">
      <c r="A967" s="229"/>
      <c r="B967" s="224"/>
      <c r="C967" s="36" t="s">
        <v>39</v>
      </c>
      <c r="D967" s="47" t="s">
        <v>12</v>
      </c>
      <c r="E967" s="37">
        <v>2.9000000000000001E-2</v>
      </c>
      <c r="F967" s="31">
        <v>19.898499999999999</v>
      </c>
      <c r="G967" s="34">
        <f t="shared" si="15"/>
        <v>0.57705649999999997</v>
      </c>
      <c r="H967" s="35"/>
      <c r="I967" s="31"/>
      <c r="J967" s="155">
        <v>0</v>
      </c>
    </row>
    <row r="968" spans="1:10" ht="15" hidden="1" thickBot="1" x14ac:dyDescent="0.35">
      <c r="A968" s="230"/>
      <c r="B968" s="225"/>
      <c r="C968" s="36"/>
      <c r="D968" s="36"/>
      <c r="E968" s="37"/>
      <c r="F968" s="31" t="s">
        <v>560</v>
      </c>
      <c r="G968" s="31" t="str">
        <f t="shared" si="15"/>
        <v/>
      </c>
      <c r="H968" s="35"/>
      <c r="I968" s="31"/>
      <c r="J968" s="155">
        <v>0</v>
      </c>
    </row>
    <row r="969" spans="1:10" ht="15" hidden="1" thickBot="1" x14ac:dyDescent="0.35">
      <c r="A969" s="226" t="s">
        <v>336</v>
      </c>
      <c r="B969" s="223" t="e">
        <f>INDEX(#REF!,MATCH(Composições!A969,#REF!,0),2)</f>
        <v>#REF!</v>
      </c>
      <c r="C969" s="41"/>
      <c r="D969" s="26" t="e">
        <f>TRIM(INDEX(#REF!,MATCH(Composições!A969,#REF!,0),1))</f>
        <v>#REF!</v>
      </c>
      <c r="E969" s="27"/>
      <c r="F969" s="42" t="s">
        <v>560</v>
      </c>
      <c r="G969" s="28" t="str">
        <f t="shared" si="15"/>
        <v/>
      </c>
      <c r="H969" s="29"/>
      <c r="I969" s="30"/>
      <c r="J969" s="155">
        <v>0</v>
      </c>
    </row>
    <row r="970" spans="1:10" ht="15" hidden="1" thickBot="1" x14ac:dyDescent="0.35">
      <c r="A970" s="229"/>
      <c r="B970" s="224"/>
      <c r="C970" s="32"/>
      <c r="D970" s="32"/>
      <c r="E970" s="33"/>
      <c r="F970" s="43" t="s">
        <v>560</v>
      </c>
      <c r="G970" s="31" t="str">
        <f t="shared" si="15"/>
        <v/>
      </c>
      <c r="H970" s="35"/>
      <c r="I970" s="31"/>
      <c r="J970" s="155">
        <v>0</v>
      </c>
    </row>
    <row r="971" spans="1:10" ht="27" hidden="1" thickBot="1" x14ac:dyDescent="0.35">
      <c r="A971" s="229"/>
      <c r="B971" s="224"/>
      <c r="C971" s="36" t="s">
        <v>337</v>
      </c>
      <c r="D971" s="47" t="s">
        <v>147</v>
      </c>
      <c r="E971" s="37">
        <v>1</v>
      </c>
      <c r="F971" s="34" t="s">
        <v>560</v>
      </c>
      <c r="G971" s="34" t="str">
        <f t="shared" si="15"/>
        <v/>
      </c>
      <c r="H971" s="39">
        <f>SUM(G971:G974)</f>
        <v>9.6825794999999992</v>
      </c>
      <c r="I971" s="40"/>
      <c r="J971" s="155">
        <v>0</v>
      </c>
    </row>
    <row r="972" spans="1:10" ht="15" hidden="1" thickBot="1" x14ac:dyDescent="0.35">
      <c r="A972" s="229"/>
      <c r="B972" s="224"/>
      <c r="C972" s="36" t="s">
        <v>338</v>
      </c>
      <c r="D972" s="47" t="s">
        <v>292</v>
      </c>
      <c r="E972" s="37">
        <v>1.2999999999999999E-2</v>
      </c>
      <c r="F972" s="34">
        <v>11.4665</v>
      </c>
      <c r="G972" s="34">
        <f t="shared" si="15"/>
        <v>0.14906449999999999</v>
      </c>
      <c r="H972" s="35"/>
      <c r="I972" s="31"/>
      <c r="J972" s="155">
        <v>0</v>
      </c>
    </row>
    <row r="973" spans="1:10" ht="15" hidden="1" thickBot="1" x14ac:dyDescent="0.35">
      <c r="A973" s="229"/>
      <c r="B973" s="224"/>
      <c r="C973" s="36" t="s">
        <v>39</v>
      </c>
      <c r="D973" s="47" t="s">
        <v>12</v>
      </c>
      <c r="E973" s="37">
        <v>0.3</v>
      </c>
      <c r="F973" s="31">
        <v>19.898499999999999</v>
      </c>
      <c r="G973" s="34">
        <f t="shared" si="15"/>
        <v>5.969549999999999</v>
      </c>
      <c r="H973" s="35"/>
      <c r="I973" s="31"/>
      <c r="J973" s="155">
        <v>0</v>
      </c>
    </row>
    <row r="974" spans="1:10" ht="15" hidden="1" thickBot="1" x14ac:dyDescent="0.35">
      <c r="A974" s="229"/>
      <c r="B974" s="224"/>
      <c r="C974" s="36" t="s">
        <v>108</v>
      </c>
      <c r="D974" s="47" t="s">
        <v>12</v>
      </c>
      <c r="E974" s="37">
        <v>0.23</v>
      </c>
      <c r="F974" s="31">
        <v>15.4955</v>
      </c>
      <c r="G974" s="34">
        <f t="shared" si="15"/>
        <v>3.563965</v>
      </c>
      <c r="H974" s="35"/>
      <c r="I974" s="31"/>
      <c r="J974" s="155">
        <v>0</v>
      </c>
    </row>
    <row r="975" spans="1:10" ht="15" hidden="1" thickBot="1" x14ac:dyDescent="0.35">
      <c r="A975" s="230"/>
      <c r="B975" s="225"/>
      <c r="C975" s="36"/>
      <c r="D975" s="36"/>
      <c r="E975" s="37"/>
      <c r="F975" s="31" t="s">
        <v>560</v>
      </c>
      <c r="G975" s="31" t="str">
        <f t="shared" si="15"/>
        <v/>
      </c>
      <c r="H975" s="35"/>
      <c r="I975" s="31"/>
      <c r="J975" s="155">
        <v>0</v>
      </c>
    </row>
    <row r="976" spans="1:10" ht="15" hidden="1" thickBot="1" x14ac:dyDescent="0.35">
      <c r="A976" s="226" t="s">
        <v>339</v>
      </c>
      <c r="B976" s="223" t="e">
        <f>INDEX(#REF!,MATCH(Composições!A976,#REF!,0),2)</f>
        <v>#REF!</v>
      </c>
      <c r="C976" s="41"/>
      <c r="D976" s="26" t="e">
        <f>TRIM(INDEX(#REF!,MATCH(Composições!A976,#REF!,0),1))</f>
        <v>#REF!</v>
      </c>
      <c r="E976" s="27"/>
      <c r="F976" s="42" t="s">
        <v>560</v>
      </c>
      <c r="G976" s="28" t="str">
        <f t="shared" si="15"/>
        <v/>
      </c>
      <c r="H976" s="29"/>
      <c r="I976" s="30"/>
      <c r="J976" s="155">
        <v>0</v>
      </c>
    </row>
    <row r="977" spans="1:10" ht="15" hidden="1" thickBot="1" x14ac:dyDescent="0.35">
      <c r="A977" s="229"/>
      <c r="B977" s="224"/>
      <c r="C977" s="32"/>
      <c r="D977" s="32"/>
      <c r="E977" s="33"/>
      <c r="F977" s="43" t="s">
        <v>560</v>
      </c>
      <c r="G977" s="31" t="str">
        <f t="shared" si="15"/>
        <v/>
      </c>
      <c r="H977" s="35"/>
      <c r="I977" s="31"/>
      <c r="J977" s="155">
        <v>0</v>
      </c>
    </row>
    <row r="978" spans="1:10" ht="15" hidden="1" thickBot="1" x14ac:dyDescent="0.35">
      <c r="A978" s="229"/>
      <c r="B978" s="224"/>
      <c r="C978" s="36" t="s">
        <v>108</v>
      </c>
      <c r="D978" s="47" t="s">
        <v>12</v>
      </c>
      <c r="E978" s="37">
        <v>0.38</v>
      </c>
      <c r="F978" s="31">
        <v>15.4955</v>
      </c>
      <c r="G978" s="34">
        <f t="shared" ref="G978:G1041" si="16">IF(ISNUMBER(F978),E978*F978,"")</f>
        <v>5.8882899999999996</v>
      </c>
      <c r="H978" s="39">
        <f>SUM(G978:G985)</f>
        <v>67.686542950000003</v>
      </c>
      <c r="I978" s="40"/>
      <c r="J978" s="155">
        <v>0</v>
      </c>
    </row>
    <row r="979" spans="1:10" ht="15" hidden="1" thickBot="1" x14ac:dyDescent="0.35">
      <c r="A979" s="229"/>
      <c r="B979" s="224"/>
      <c r="C979" s="36" t="s">
        <v>39</v>
      </c>
      <c r="D979" s="47" t="s">
        <v>12</v>
      </c>
      <c r="E979" s="37">
        <v>0.38</v>
      </c>
      <c r="F979" s="31">
        <v>19.898499999999999</v>
      </c>
      <c r="G979" s="34">
        <f t="shared" si="16"/>
        <v>7.5614299999999997</v>
      </c>
      <c r="H979" s="35"/>
      <c r="I979" s="31"/>
      <c r="J979" s="155">
        <v>0</v>
      </c>
    </row>
    <row r="980" spans="1:10" ht="15" hidden="1" thickBot="1" x14ac:dyDescent="0.35">
      <c r="A980" s="229"/>
      <c r="B980" s="224"/>
      <c r="C980" s="36" t="s">
        <v>322</v>
      </c>
      <c r="D980" s="47" t="s">
        <v>20</v>
      </c>
      <c r="E980" s="37">
        <v>1.4800000000000001E-2</v>
      </c>
      <c r="F980" s="34">
        <v>67.566499999999991</v>
      </c>
      <c r="G980" s="34">
        <f t="shared" si="16"/>
        <v>0.99998419999999988</v>
      </c>
      <c r="H980" s="35"/>
      <c r="I980" s="31"/>
      <c r="J980" s="155">
        <v>0</v>
      </c>
    </row>
    <row r="981" spans="1:10" ht="15" hidden="1" thickBot="1" x14ac:dyDescent="0.35">
      <c r="A981" s="229"/>
      <c r="B981" s="224"/>
      <c r="C981" s="36" t="s">
        <v>340</v>
      </c>
      <c r="D981" s="47" t="s">
        <v>20</v>
      </c>
      <c r="E981" s="37">
        <v>1</v>
      </c>
      <c r="F981" s="34">
        <v>1.9464999999999999</v>
      </c>
      <c r="G981" s="34">
        <f t="shared" si="16"/>
        <v>1.9464999999999999</v>
      </c>
      <c r="H981" s="35"/>
      <c r="I981" s="31"/>
      <c r="J981" s="155">
        <v>0</v>
      </c>
    </row>
    <row r="982" spans="1:10" ht="15" hidden="1" thickBot="1" x14ac:dyDescent="0.35">
      <c r="A982" s="229"/>
      <c r="B982" s="224"/>
      <c r="C982" s="36" t="s">
        <v>324</v>
      </c>
      <c r="D982" s="47" t="s">
        <v>20</v>
      </c>
      <c r="E982" s="37">
        <v>5.7000000000000002E-2</v>
      </c>
      <c r="F982" s="34">
        <v>1.87</v>
      </c>
      <c r="G982" s="34">
        <f t="shared" si="16"/>
        <v>0.10659</v>
      </c>
      <c r="H982" s="35"/>
      <c r="I982" s="31"/>
      <c r="J982" s="155">
        <v>0</v>
      </c>
    </row>
    <row r="983" spans="1:10" ht="15" hidden="1" thickBot="1" x14ac:dyDescent="0.35">
      <c r="A983" s="229"/>
      <c r="B983" s="224"/>
      <c r="C983" s="36" t="s">
        <v>341</v>
      </c>
      <c r="D983" s="47" t="s">
        <v>20</v>
      </c>
      <c r="E983" s="37">
        <v>1</v>
      </c>
      <c r="F983" s="34">
        <v>49.121499999999997</v>
      </c>
      <c r="G983" s="34">
        <f t="shared" si="16"/>
        <v>49.121499999999997</v>
      </c>
      <c r="H983" s="35"/>
      <c r="I983" s="31"/>
      <c r="J983" s="155">
        <v>0</v>
      </c>
    </row>
    <row r="984" spans="1:10" ht="27" hidden="1" thickBot="1" x14ac:dyDescent="0.35">
      <c r="A984" s="229"/>
      <c r="B984" s="224"/>
      <c r="C984" s="36" t="s">
        <v>342</v>
      </c>
      <c r="D984" s="47" t="s">
        <v>20</v>
      </c>
      <c r="E984" s="37">
        <v>0.03</v>
      </c>
      <c r="F984" s="34">
        <v>24.734999999999999</v>
      </c>
      <c r="G984" s="34">
        <f t="shared" si="16"/>
        <v>0.74204999999999999</v>
      </c>
      <c r="H984" s="35"/>
      <c r="I984" s="31"/>
      <c r="J984" s="155">
        <v>0</v>
      </c>
    </row>
    <row r="985" spans="1:10" ht="15" hidden="1" thickBot="1" x14ac:dyDescent="0.35">
      <c r="A985" s="229"/>
      <c r="B985" s="224"/>
      <c r="C985" s="36" t="s">
        <v>323</v>
      </c>
      <c r="D985" s="47" t="s">
        <v>20</v>
      </c>
      <c r="E985" s="37">
        <v>2.2499999999999999E-2</v>
      </c>
      <c r="F985" s="34">
        <v>58.6755</v>
      </c>
      <c r="G985" s="34">
        <f t="shared" si="16"/>
        <v>1.3201987499999999</v>
      </c>
      <c r="H985" s="35"/>
      <c r="I985" s="31"/>
      <c r="J985" s="155">
        <v>0</v>
      </c>
    </row>
    <row r="986" spans="1:10" ht="15" hidden="1" thickBot="1" x14ac:dyDescent="0.35">
      <c r="A986" s="230"/>
      <c r="B986" s="225"/>
      <c r="C986" s="36"/>
      <c r="D986" s="36"/>
      <c r="E986" s="37"/>
      <c r="F986" s="31" t="s">
        <v>560</v>
      </c>
      <c r="G986" s="31" t="str">
        <f t="shared" si="16"/>
        <v/>
      </c>
      <c r="H986" s="35"/>
      <c r="I986" s="31"/>
      <c r="J986" s="155">
        <v>0</v>
      </c>
    </row>
    <row r="987" spans="1:10" ht="15" hidden="1" thickBot="1" x14ac:dyDescent="0.35">
      <c r="A987" s="226" t="s">
        <v>343</v>
      </c>
      <c r="B987" s="223" t="e">
        <f>INDEX(#REF!,MATCH(Composições!A987,#REF!,0),2)</f>
        <v>#REF!</v>
      </c>
      <c r="C987" s="41"/>
      <c r="D987" s="26" t="e">
        <f>TRIM(INDEX(#REF!,MATCH(Composições!A987,#REF!,0),1))</f>
        <v>#REF!</v>
      </c>
      <c r="E987" s="27"/>
      <c r="F987" s="42" t="s">
        <v>560</v>
      </c>
      <c r="G987" s="28" t="str">
        <f t="shared" si="16"/>
        <v/>
      </c>
      <c r="H987" s="29"/>
      <c r="I987" s="30"/>
      <c r="J987" s="155">
        <v>0</v>
      </c>
    </row>
    <row r="988" spans="1:10" ht="15" hidden="1" thickBot="1" x14ac:dyDescent="0.35">
      <c r="A988" s="229"/>
      <c r="B988" s="224"/>
      <c r="C988" s="32"/>
      <c r="D988" s="32"/>
      <c r="E988" s="33"/>
      <c r="F988" s="43" t="s">
        <v>560</v>
      </c>
      <c r="G988" s="31" t="str">
        <f t="shared" si="16"/>
        <v/>
      </c>
      <c r="H988" s="35"/>
      <c r="I988" s="31"/>
      <c r="J988" s="155">
        <v>0</v>
      </c>
    </row>
    <row r="989" spans="1:10" ht="15" hidden="1" thickBot="1" x14ac:dyDescent="0.35">
      <c r="A989" s="229"/>
      <c r="B989" s="224"/>
      <c r="C989" s="36" t="s">
        <v>108</v>
      </c>
      <c r="D989" s="47" t="s">
        <v>12</v>
      </c>
      <c r="E989" s="37">
        <v>0.38</v>
      </c>
      <c r="F989" s="31">
        <v>15.4955</v>
      </c>
      <c r="G989" s="31">
        <f t="shared" si="16"/>
        <v>5.8882899999999996</v>
      </c>
      <c r="H989" s="39">
        <f>SUM(G989:G996)</f>
        <v>120.17404295000001</v>
      </c>
      <c r="I989" s="40"/>
      <c r="J989" s="155">
        <v>0</v>
      </c>
    </row>
    <row r="990" spans="1:10" ht="15" hidden="1" thickBot="1" x14ac:dyDescent="0.35">
      <c r="A990" s="229"/>
      <c r="B990" s="224"/>
      <c r="C990" s="36" t="s">
        <v>39</v>
      </c>
      <c r="D990" s="47" t="s">
        <v>12</v>
      </c>
      <c r="E990" s="37">
        <v>0.38</v>
      </c>
      <c r="F990" s="31">
        <v>19.898499999999999</v>
      </c>
      <c r="G990" s="31">
        <f t="shared" si="16"/>
        <v>7.5614299999999997</v>
      </c>
      <c r="H990" s="35"/>
      <c r="I990" s="31"/>
      <c r="J990" s="155">
        <v>0</v>
      </c>
    </row>
    <row r="991" spans="1:10" ht="15" hidden="1" thickBot="1" x14ac:dyDescent="0.35">
      <c r="A991" s="229"/>
      <c r="B991" s="224"/>
      <c r="C991" s="36" t="s">
        <v>322</v>
      </c>
      <c r="D991" s="47" t="s">
        <v>20</v>
      </c>
      <c r="E991" s="37">
        <v>1.4800000000000001E-2</v>
      </c>
      <c r="F991" s="34">
        <v>67.566499999999991</v>
      </c>
      <c r="G991" s="31">
        <f t="shared" si="16"/>
        <v>0.99998419999999988</v>
      </c>
      <c r="H991" s="35"/>
      <c r="I991" s="31"/>
      <c r="J991" s="155">
        <v>0</v>
      </c>
    </row>
    <row r="992" spans="1:10" ht="15" hidden="1" thickBot="1" x14ac:dyDescent="0.35">
      <c r="A992" s="229"/>
      <c r="B992" s="224"/>
      <c r="C992" s="36" t="s">
        <v>340</v>
      </c>
      <c r="D992" s="47" t="s">
        <v>20</v>
      </c>
      <c r="E992" s="37">
        <v>1</v>
      </c>
      <c r="F992" s="34">
        <v>1.9464999999999999</v>
      </c>
      <c r="G992" s="31">
        <f t="shared" si="16"/>
        <v>1.9464999999999999</v>
      </c>
      <c r="H992" s="35"/>
      <c r="I992" s="31"/>
      <c r="J992" s="155">
        <v>0</v>
      </c>
    </row>
    <row r="993" spans="1:10" ht="15" hidden="1" thickBot="1" x14ac:dyDescent="0.35">
      <c r="A993" s="229"/>
      <c r="B993" s="224"/>
      <c r="C993" s="36" t="s">
        <v>324</v>
      </c>
      <c r="D993" s="47" t="s">
        <v>20</v>
      </c>
      <c r="E993" s="37">
        <v>5.7000000000000002E-2</v>
      </c>
      <c r="F993" s="34">
        <v>1.87</v>
      </c>
      <c r="G993" s="31">
        <f t="shared" si="16"/>
        <v>0.10659</v>
      </c>
      <c r="H993" s="35"/>
      <c r="I993" s="31"/>
      <c r="J993" s="155">
        <v>0</v>
      </c>
    </row>
    <row r="994" spans="1:10" ht="27" hidden="1" thickBot="1" x14ac:dyDescent="0.35">
      <c r="A994" s="229"/>
      <c r="B994" s="224"/>
      <c r="C994" s="36" t="s">
        <v>344</v>
      </c>
      <c r="D994" s="47" t="s">
        <v>20</v>
      </c>
      <c r="E994" s="37">
        <v>1</v>
      </c>
      <c r="F994" s="34">
        <v>101.60900000000001</v>
      </c>
      <c r="G994" s="31">
        <f t="shared" si="16"/>
        <v>101.60900000000001</v>
      </c>
      <c r="H994" s="35"/>
      <c r="I994" s="31"/>
      <c r="J994" s="155">
        <v>0</v>
      </c>
    </row>
    <row r="995" spans="1:10" ht="27" hidden="1" thickBot="1" x14ac:dyDescent="0.35">
      <c r="A995" s="229"/>
      <c r="B995" s="224"/>
      <c r="C995" s="36" t="s">
        <v>342</v>
      </c>
      <c r="D995" s="47" t="s">
        <v>20</v>
      </c>
      <c r="E995" s="37">
        <v>0.03</v>
      </c>
      <c r="F995" s="34">
        <v>24.734999999999999</v>
      </c>
      <c r="G995" s="31">
        <f t="shared" si="16"/>
        <v>0.74204999999999999</v>
      </c>
      <c r="H995" s="35"/>
      <c r="I995" s="31"/>
      <c r="J995" s="155">
        <v>0</v>
      </c>
    </row>
    <row r="996" spans="1:10" ht="15" hidden="1" thickBot="1" x14ac:dyDescent="0.35">
      <c r="A996" s="229"/>
      <c r="B996" s="224"/>
      <c r="C996" s="36" t="s">
        <v>323</v>
      </c>
      <c r="D996" s="47" t="s">
        <v>20</v>
      </c>
      <c r="E996" s="37">
        <v>2.2499999999999999E-2</v>
      </c>
      <c r="F996" s="34">
        <v>58.6755</v>
      </c>
      <c r="G996" s="31">
        <f t="shared" si="16"/>
        <v>1.3201987499999999</v>
      </c>
      <c r="H996" s="35"/>
      <c r="I996" s="31"/>
      <c r="J996" s="155">
        <v>0</v>
      </c>
    </row>
    <row r="997" spans="1:10" ht="15" hidden="1" thickBot="1" x14ac:dyDescent="0.35">
      <c r="A997" s="230"/>
      <c r="B997" s="225"/>
      <c r="C997" s="36"/>
      <c r="D997" s="36"/>
      <c r="E997" s="37"/>
      <c r="F997" s="31" t="s">
        <v>560</v>
      </c>
      <c r="G997" s="31" t="str">
        <f t="shared" si="16"/>
        <v/>
      </c>
      <c r="H997" s="35"/>
      <c r="I997" s="31"/>
      <c r="J997" s="155">
        <v>0</v>
      </c>
    </row>
    <row r="998" spans="1:10" ht="15" hidden="1" thickBot="1" x14ac:dyDescent="0.35">
      <c r="A998" s="226" t="s">
        <v>345</v>
      </c>
      <c r="B998" s="223" t="e">
        <f>INDEX(#REF!,MATCH(Composições!A998,#REF!,0),2)</f>
        <v>#REF!</v>
      </c>
      <c r="C998" s="41"/>
      <c r="D998" s="26" t="e">
        <f>TRIM(INDEX(#REF!,MATCH(Composições!A998,#REF!,0),1))</f>
        <v>#REF!</v>
      </c>
      <c r="E998" s="27"/>
      <c r="F998" s="42" t="s">
        <v>560</v>
      </c>
      <c r="G998" s="28" t="str">
        <f t="shared" si="16"/>
        <v/>
      </c>
      <c r="H998" s="29"/>
      <c r="I998" s="30"/>
      <c r="J998" s="155">
        <v>0</v>
      </c>
    </row>
    <row r="999" spans="1:10" ht="15" hidden="1" thickBot="1" x14ac:dyDescent="0.35">
      <c r="A999" s="229"/>
      <c r="B999" s="224"/>
      <c r="C999" s="32"/>
      <c r="D999" s="32"/>
      <c r="E999" s="33"/>
      <c r="F999" s="43" t="s">
        <v>560</v>
      </c>
      <c r="G999" s="31" t="str">
        <f t="shared" si="16"/>
        <v/>
      </c>
      <c r="H999" s="35"/>
      <c r="I999" s="31"/>
      <c r="J999" s="155">
        <v>0</v>
      </c>
    </row>
    <row r="1000" spans="1:10" ht="27" hidden="1" thickBot="1" x14ac:dyDescent="0.35">
      <c r="A1000" s="229"/>
      <c r="B1000" s="224"/>
      <c r="C1000" s="36" t="s">
        <v>346</v>
      </c>
      <c r="D1000" s="47" t="s">
        <v>147</v>
      </c>
      <c r="E1000" s="37">
        <v>1</v>
      </c>
      <c r="F1000" s="34" t="s">
        <v>560</v>
      </c>
      <c r="G1000" s="34" t="str">
        <f t="shared" si="16"/>
        <v/>
      </c>
      <c r="H1000" s="39">
        <f>SUM(G1000:G1001)</f>
        <v>2.2452749999999999</v>
      </c>
      <c r="I1000" s="40"/>
      <c r="J1000" s="155">
        <v>0</v>
      </c>
    </row>
    <row r="1001" spans="1:10" ht="15" hidden="1" thickBot="1" x14ac:dyDescent="0.35">
      <c r="A1001" s="229"/>
      <c r="B1001" s="224"/>
      <c r="C1001" s="36" t="s">
        <v>23</v>
      </c>
      <c r="D1001" s="47" t="s">
        <v>12</v>
      </c>
      <c r="E1001" s="37">
        <v>0.15</v>
      </c>
      <c r="F1001" s="31">
        <v>14.968499999999999</v>
      </c>
      <c r="G1001" s="34">
        <f t="shared" si="16"/>
        <v>2.2452749999999999</v>
      </c>
      <c r="H1001" s="35"/>
      <c r="I1001" s="31"/>
      <c r="J1001" s="155">
        <v>0</v>
      </c>
    </row>
    <row r="1002" spans="1:10" ht="15" hidden="1" thickBot="1" x14ac:dyDescent="0.35">
      <c r="A1002" s="230"/>
      <c r="B1002" s="225"/>
      <c r="C1002" s="36"/>
      <c r="D1002" s="36"/>
      <c r="E1002" s="37"/>
      <c r="F1002" s="31" t="s">
        <v>560</v>
      </c>
      <c r="G1002" s="31" t="str">
        <f t="shared" si="16"/>
        <v/>
      </c>
      <c r="H1002" s="35"/>
      <c r="I1002" s="31"/>
      <c r="J1002" s="155">
        <v>0</v>
      </c>
    </row>
    <row r="1003" spans="1:10" ht="15" hidden="1" thickBot="1" x14ac:dyDescent="0.35">
      <c r="A1003" s="226" t="s">
        <v>347</v>
      </c>
      <c r="B1003" s="223" t="e">
        <f>INDEX(#REF!,MATCH(Composições!A1003,#REF!,0),2)</f>
        <v>#REF!</v>
      </c>
      <c r="C1003" s="41"/>
      <c r="D1003" s="26" t="e">
        <f>TRIM(INDEX(#REF!,MATCH(Composições!A1003,#REF!,0),1))</f>
        <v>#REF!</v>
      </c>
      <c r="E1003" s="27"/>
      <c r="F1003" s="42" t="s">
        <v>560</v>
      </c>
      <c r="G1003" s="28" t="str">
        <f t="shared" si="16"/>
        <v/>
      </c>
      <c r="H1003" s="29"/>
      <c r="I1003" s="30"/>
      <c r="J1003" s="155">
        <v>0</v>
      </c>
    </row>
    <row r="1004" spans="1:10" ht="15" hidden="1" thickBot="1" x14ac:dyDescent="0.35">
      <c r="A1004" s="229"/>
      <c r="B1004" s="224"/>
      <c r="C1004" s="32"/>
      <c r="D1004" s="32"/>
      <c r="E1004" s="33"/>
      <c r="F1004" s="43" t="s">
        <v>560</v>
      </c>
      <c r="G1004" s="31" t="str">
        <f t="shared" si="16"/>
        <v/>
      </c>
      <c r="H1004" s="35"/>
      <c r="I1004" s="31"/>
      <c r="J1004" s="155">
        <v>0</v>
      </c>
    </row>
    <row r="1005" spans="1:10" ht="27" hidden="1" thickBot="1" x14ac:dyDescent="0.35">
      <c r="A1005" s="229"/>
      <c r="B1005" s="224"/>
      <c r="C1005" s="36" t="s">
        <v>348</v>
      </c>
      <c r="D1005" s="47" t="s">
        <v>147</v>
      </c>
      <c r="E1005" s="37">
        <v>1</v>
      </c>
      <c r="F1005" s="34" t="s">
        <v>560</v>
      </c>
      <c r="G1005" s="34" t="str">
        <f t="shared" si="16"/>
        <v/>
      </c>
      <c r="H1005" s="39">
        <f>SUM(G1005:G1006)</f>
        <v>2.2452749999999999</v>
      </c>
      <c r="I1005" s="40"/>
      <c r="J1005" s="155">
        <v>0</v>
      </c>
    </row>
    <row r="1006" spans="1:10" ht="15" hidden="1" thickBot="1" x14ac:dyDescent="0.35">
      <c r="A1006" s="229"/>
      <c r="B1006" s="224"/>
      <c r="C1006" s="36" t="s">
        <v>23</v>
      </c>
      <c r="D1006" s="47" t="s">
        <v>12</v>
      </c>
      <c r="E1006" s="37">
        <v>0.15</v>
      </c>
      <c r="F1006" s="31">
        <v>14.968499999999999</v>
      </c>
      <c r="G1006" s="34">
        <f t="shared" si="16"/>
        <v>2.2452749999999999</v>
      </c>
      <c r="H1006" s="35"/>
      <c r="I1006" s="31"/>
      <c r="J1006" s="155">
        <v>0</v>
      </c>
    </row>
    <row r="1007" spans="1:10" ht="15" hidden="1" thickBot="1" x14ac:dyDescent="0.35">
      <c r="A1007" s="230"/>
      <c r="B1007" s="225"/>
      <c r="C1007" s="36"/>
      <c r="D1007" s="36"/>
      <c r="E1007" s="37"/>
      <c r="F1007" s="31" t="s">
        <v>560</v>
      </c>
      <c r="G1007" s="31" t="str">
        <f t="shared" si="16"/>
        <v/>
      </c>
      <c r="H1007" s="35"/>
      <c r="I1007" s="31"/>
      <c r="J1007" s="155">
        <v>0</v>
      </c>
    </row>
    <row r="1008" spans="1:10" ht="15" hidden="1" thickBot="1" x14ac:dyDescent="0.35">
      <c r="A1008" s="226" t="s">
        <v>349</v>
      </c>
      <c r="B1008" s="223" t="e">
        <f>INDEX(#REF!,MATCH(Composições!A1008,#REF!,0),2)</f>
        <v>#REF!</v>
      </c>
      <c r="C1008" s="41"/>
      <c r="D1008" s="26" t="e">
        <f>TRIM(INDEX(#REF!,MATCH(Composições!A1008,#REF!,0),1))</f>
        <v>#REF!</v>
      </c>
      <c r="E1008" s="27"/>
      <c r="F1008" s="42" t="s">
        <v>560</v>
      </c>
      <c r="G1008" s="28" t="str">
        <f t="shared" si="16"/>
        <v/>
      </c>
      <c r="H1008" s="29"/>
      <c r="I1008" s="30"/>
      <c r="J1008" s="155">
        <v>0</v>
      </c>
    </row>
    <row r="1009" spans="1:10" ht="15" hidden="1" thickBot="1" x14ac:dyDescent="0.35">
      <c r="A1009" s="229"/>
      <c r="B1009" s="224"/>
      <c r="C1009" s="32"/>
      <c r="D1009" s="32"/>
      <c r="E1009" s="33"/>
      <c r="F1009" s="43" t="s">
        <v>560</v>
      </c>
      <c r="G1009" s="31" t="str">
        <f t="shared" si="16"/>
        <v/>
      </c>
      <c r="H1009" s="35"/>
      <c r="I1009" s="31"/>
      <c r="J1009" s="155">
        <v>0</v>
      </c>
    </row>
    <row r="1010" spans="1:10" ht="15" hidden="1" thickBot="1" x14ac:dyDescent="0.35">
      <c r="A1010" s="229"/>
      <c r="B1010" s="224"/>
      <c r="C1010" s="36" t="s">
        <v>108</v>
      </c>
      <c r="D1010" s="47" t="s">
        <v>12</v>
      </c>
      <c r="E1010" s="37">
        <v>7.0000000000000007E-2</v>
      </c>
      <c r="F1010" s="31">
        <v>15.4955</v>
      </c>
      <c r="G1010" s="34">
        <f t="shared" si="16"/>
        <v>1.0846850000000001</v>
      </c>
      <c r="H1010" s="39">
        <f>SUM(G1010:G1015)</f>
        <v>11.083512099999998</v>
      </c>
      <c r="I1010" s="40"/>
      <c r="J1010" s="155">
        <v>0</v>
      </c>
    </row>
    <row r="1011" spans="1:10" ht="15" hidden="1" thickBot="1" x14ac:dyDescent="0.35">
      <c r="A1011" s="229"/>
      <c r="B1011" s="224"/>
      <c r="C1011" s="36" t="s">
        <v>39</v>
      </c>
      <c r="D1011" s="47" t="s">
        <v>12</v>
      </c>
      <c r="E1011" s="37">
        <v>7.0000000000000007E-2</v>
      </c>
      <c r="F1011" s="31">
        <v>19.898499999999999</v>
      </c>
      <c r="G1011" s="34">
        <f t="shared" si="16"/>
        <v>1.392895</v>
      </c>
      <c r="H1011" s="35"/>
      <c r="I1011" s="31"/>
      <c r="J1011" s="155">
        <v>0</v>
      </c>
    </row>
    <row r="1012" spans="1:10" ht="15" hidden="1" thickBot="1" x14ac:dyDescent="0.35">
      <c r="A1012" s="229"/>
      <c r="B1012" s="224"/>
      <c r="C1012" s="36" t="s">
        <v>322</v>
      </c>
      <c r="D1012" s="47" t="s">
        <v>20</v>
      </c>
      <c r="E1012" s="37">
        <v>4.8999999999999998E-3</v>
      </c>
      <c r="F1012" s="34">
        <v>67.566499999999991</v>
      </c>
      <c r="G1012" s="34">
        <f t="shared" si="16"/>
        <v>0.33107584999999995</v>
      </c>
      <c r="H1012" s="35"/>
      <c r="I1012" s="31"/>
      <c r="J1012" s="155">
        <v>0</v>
      </c>
    </row>
    <row r="1013" spans="1:10" ht="15" hidden="1" thickBot="1" x14ac:dyDescent="0.35">
      <c r="A1013" s="229"/>
      <c r="B1013" s="224"/>
      <c r="C1013" s="36" t="s">
        <v>324</v>
      </c>
      <c r="D1013" s="47" t="s">
        <v>20</v>
      </c>
      <c r="E1013" s="37">
        <v>1.7000000000000001E-2</v>
      </c>
      <c r="F1013" s="34">
        <v>1.87</v>
      </c>
      <c r="G1013" s="34">
        <f t="shared" si="16"/>
        <v>3.1790000000000006E-2</v>
      </c>
      <c r="H1013" s="35"/>
      <c r="I1013" s="31"/>
      <c r="J1013" s="155">
        <v>0</v>
      </c>
    </row>
    <row r="1014" spans="1:10" ht="15" hidden="1" thickBot="1" x14ac:dyDescent="0.35">
      <c r="A1014" s="229"/>
      <c r="B1014" s="224"/>
      <c r="C1014" s="36" t="s">
        <v>350</v>
      </c>
      <c r="D1014" s="47" t="s">
        <v>20</v>
      </c>
      <c r="E1014" s="37">
        <v>1</v>
      </c>
      <c r="F1014" s="34">
        <v>7.8029999999999999</v>
      </c>
      <c r="G1014" s="34">
        <f t="shared" si="16"/>
        <v>7.8029999999999999</v>
      </c>
      <c r="H1014" s="35"/>
      <c r="I1014" s="31"/>
      <c r="J1014" s="155">
        <v>0</v>
      </c>
    </row>
    <row r="1015" spans="1:10" ht="15" hidden="1" thickBot="1" x14ac:dyDescent="0.35">
      <c r="A1015" s="229"/>
      <c r="B1015" s="224"/>
      <c r="C1015" s="36" t="s">
        <v>323</v>
      </c>
      <c r="D1015" s="47" t="s">
        <v>20</v>
      </c>
      <c r="E1015" s="37">
        <v>7.4999999999999997E-3</v>
      </c>
      <c r="F1015" s="34">
        <v>58.6755</v>
      </c>
      <c r="G1015" s="34">
        <f t="shared" si="16"/>
        <v>0.44006624999999999</v>
      </c>
      <c r="H1015" s="35"/>
      <c r="I1015" s="31"/>
      <c r="J1015" s="155">
        <v>0</v>
      </c>
    </row>
    <row r="1016" spans="1:10" ht="15" hidden="1" thickBot="1" x14ac:dyDescent="0.35">
      <c r="A1016" s="230"/>
      <c r="B1016" s="225"/>
      <c r="C1016" s="36"/>
      <c r="D1016" s="36"/>
      <c r="E1016" s="37"/>
      <c r="F1016" s="31" t="s">
        <v>560</v>
      </c>
      <c r="G1016" s="31" t="str">
        <f t="shared" si="16"/>
        <v/>
      </c>
      <c r="H1016" s="35"/>
      <c r="I1016" s="31"/>
      <c r="J1016" s="155">
        <v>0</v>
      </c>
    </row>
    <row r="1017" spans="1:10" ht="15" hidden="1" thickBot="1" x14ac:dyDescent="0.35">
      <c r="A1017" s="226" t="s">
        <v>351</v>
      </c>
      <c r="B1017" s="223" t="e">
        <f>INDEX(#REF!,MATCH(Composições!A1017,#REF!,0),2)</f>
        <v>#REF!</v>
      </c>
      <c r="C1017" s="41"/>
      <c r="D1017" s="26" t="e">
        <f>TRIM(INDEX(#REF!,MATCH(Composições!A1017,#REF!,0),1))</f>
        <v>#REF!</v>
      </c>
      <c r="E1017" s="27"/>
      <c r="F1017" s="42" t="s">
        <v>560</v>
      </c>
      <c r="G1017" s="28" t="str">
        <f t="shared" si="16"/>
        <v/>
      </c>
      <c r="H1017" s="29"/>
      <c r="I1017" s="30"/>
      <c r="J1017" s="155">
        <v>0</v>
      </c>
    </row>
    <row r="1018" spans="1:10" ht="15" hidden="1" thickBot="1" x14ac:dyDescent="0.35">
      <c r="A1018" s="229"/>
      <c r="B1018" s="224"/>
      <c r="C1018" s="32"/>
      <c r="D1018" s="32"/>
      <c r="E1018" s="33"/>
      <c r="F1018" s="43" t="s">
        <v>560</v>
      </c>
      <c r="G1018" s="31" t="str">
        <f t="shared" si="16"/>
        <v/>
      </c>
      <c r="H1018" s="35"/>
      <c r="I1018" s="31"/>
      <c r="J1018" s="155">
        <v>0</v>
      </c>
    </row>
    <row r="1019" spans="1:10" ht="27" hidden="1" thickBot="1" x14ac:dyDescent="0.35">
      <c r="A1019" s="229"/>
      <c r="B1019" s="224"/>
      <c r="C1019" s="36" t="s">
        <v>352</v>
      </c>
      <c r="D1019" s="47" t="s">
        <v>147</v>
      </c>
      <c r="E1019" s="37">
        <v>1</v>
      </c>
      <c r="F1019" s="34" t="s">
        <v>560</v>
      </c>
      <c r="G1019" s="34" t="str">
        <f t="shared" si="16"/>
        <v/>
      </c>
      <c r="H1019" s="39">
        <f>SUM(G1019:G1020)</f>
        <v>1.49685</v>
      </c>
      <c r="I1019" s="40"/>
      <c r="J1019" s="155">
        <v>0</v>
      </c>
    </row>
    <row r="1020" spans="1:10" ht="15" hidden="1" thickBot="1" x14ac:dyDescent="0.35">
      <c r="A1020" s="229"/>
      <c r="B1020" s="224"/>
      <c r="C1020" s="36" t="s">
        <v>23</v>
      </c>
      <c r="D1020" s="47" t="s">
        <v>12</v>
      </c>
      <c r="E1020" s="37">
        <v>0.1</v>
      </c>
      <c r="F1020" s="31">
        <v>14.968499999999999</v>
      </c>
      <c r="G1020" s="34">
        <f t="shared" si="16"/>
        <v>1.49685</v>
      </c>
      <c r="H1020" s="35"/>
      <c r="I1020" s="31"/>
      <c r="J1020" s="155">
        <v>0</v>
      </c>
    </row>
    <row r="1021" spans="1:10" ht="15" hidden="1" thickBot="1" x14ac:dyDescent="0.35">
      <c r="A1021" s="230"/>
      <c r="B1021" s="225"/>
      <c r="C1021" s="36"/>
      <c r="D1021" s="36"/>
      <c r="E1021" s="37"/>
      <c r="F1021" s="31" t="s">
        <v>560</v>
      </c>
      <c r="G1021" s="31" t="str">
        <f t="shared" si="16"/>
        <v/>
      </c>
      <c r="H1021" s="35"/>
      <c r="I1021" s="31"/>
      <c r="J1021" s="155">
        <v>0</v>
      </c>
    </row>
    <row r="1022" spans="1:10" ht="15" hidden="1" thickBot="1" x14ac:dyDescent="0.35">
      <c r="A1022" s="226" t="s">
        <v>353</v>
      </c>
      <c r="B1022" s="223" t="e">
        <f>INDEX(#REF!,MATCH(Composições!A1022,#REF!,0),2)</f>
        <v>#REF!</v>
      </c>
      <c r="C1022" s="41"/>
      <c r="D1022" s="26" t="e">
        <f>TRIM(INDEX(#REF!,MATCH(Composições!A1022,#REF!,0),1))</f>
        <v>#REF!</v>
      </c>
      <c r="E1022" s="27"/>
      <c r="F1022" s="42" t="s">
        <v>560</v>
      </c>
      <c r="G1022" s="28" t="str">
        <f t="shared" si="16"/>
        <v/>
      </c>
      <c r="H1022" s="29"/>
      <c r="I1022" s="30"/>
      <c r="J1022" s="155">
        <v>0</v>
      </c>
    </row>
    <row r="1023" spans="1:10" ht="15" hidden="1" thickBot="1" x14ac:dyDescent="0.35">
      <c r="A1023" s="229"/>
      <c r="B1023" s="224"/>
      <c r="C1023" s="32"/>
      <c r="D1023" s="32"/>
      <c r="E1023" s="33"/>
      <c r="F1023" s="43" t="s">
        <v>560</v>
      </c>
      <c r="G1023" s="31" t="str">
        <f t="shared" si="16"/>
        <v/>
      </c>
      <c r="H1023" s="35"/>
      <c r="I1023" s="31"/>
      <c r="J1023" s="155">
        <v>0</v>
      </c>
    </row>
    <row r="1024" spans="1:10" ht="15" hidden="1" thickBot="1" x14ac:dyDescent="0.35">
      <c r="A1024" s="229"/>
      <c r="B1024" s="224"/>
      <c r="C1024" s="36" t="s">
        <v>354</v>
      </c>
      <c r="D1024" s="47" t="s">
        <v>292</v>
      </c>
      <c r="E1024" s="37">
        <v>1</v>
      </c>
      <c r="F1024" s="34">
        <v>124.015</v>
      </c>
      <c r="G1024" s="34">
        <f t="shared" si="16"/>
        <v>124.015</v>
      </c>
      <c r="H1024" s="39">
        <f>SUM(G1024:G1030)</f>
        <v>171.04523309999999</v>
      </c>
      <c r="I1024" s="40"/>
      <c r="J1024" s="155">
        <v>0</v>
      </c>
    </row>
    <row r="1025" spans="1:10" ht="27" hidden="1" thickBot="1" x14ac:dyDescent="0.35">
      <c r="A1025" s="229"/>
      <c r="B1025" s="224"/>
      <c r="C1025" s="36" t="s">
        <v>320</v>
      </c>
      <c r="D1025" s="36" t="s">
        <v>20</v>
      </c>
      <c r="E1025" s="37">
        <v>1</v>
      </c>
      <c r="F1025" s="34" t="s">
        <v>560</v>
      </c>
      <c r="G1025" s="34" t="str">
        <f t="shared" si="16"/>
        <v/>
      </c>
      <c r="H1025" s="35"/>
      <c r="I1025" s="31"/>
      <c r="J1025" s="155">
        <v>0</v>
      </c>
    </row>
    <row r="1026" spans="1:10" ht="27" hidden="1" thickBot="1" x14ac:dyDescent="0.35">
      <c r="A1026" s="229"/>
      <c r="B1026" s="224"/>
      <c r="C1026" s="36" t="s">
        <v>355</v>
      </c>
      <c r="D1026" s="47" t="s">
        <v>292</v>
      </c>
      <c r="E1026" s="37">
        <v>2</v>
      </c>
      <c r="F1026" s="34">
        <v>12.622499999999999</v>
      </c>
      <c r="G1026" s="34">
        <f t="shared" si="16"/>
        <v>25.244999999999997</v>
      </c>
      <c r="H1026" s="35"/>
      <c r="I1026" s="31"/>
      <c r="J1026" s="155">
        <v>0</v>
      </c>
    </row>
    <row r="1027" spans="1:10" ht="15" hidden="1" thickBot="1" x14ac:dyDescent="0.35">
      <c r="A1027" s="229"/>
      <c r="B1027" s="224"/>
      <c r="C1027" s="36" t="s">
        <v>319</v>
      </c>
      <c r="D1027" s="47" t="s">
        <v>20</v>
      </c>
      <c r="E1027" s="37">
        <v>1</v>
      </c>
      <c r="F1027" s="34">
        <v>2.4649999999999999</v>
      </c>
      <c r="G1027" s="54">
        <f t="shared" si="16"/>
        <v>2.4649999999999999</v>
      </c>
      <c r="H1027" s="35"/>
      <c r="I1027" s="31"/>
      <c r="J1027" s="155">
        <v>0</v>
      </c>
    </row>
    <row r="1028" spans="1:10" ht="15" hidden="1" thickBot="1" x14ac:dyDescent="0.35">
      <c r="A1028" s="229"/>
      <c r="B1028" s="224"/>
      <c r="C1028" s="36" t="s">
        <v>1935</v>
      </c>
      <c r="D1028" s="47" t="s">
        <v>42</v>
      </c>
      <c r="E1028" s="37">
        <v>8.8099999999999998E-2</v>
      </c>
      <c r="F1028" s="34">
        <v>47.302499999999995</v>
      </c>
      <c r="G1028" s="34">
        <f t="shared" si="16"/>
        <v>4.1673502499999993</v>
      </c>
      <c r="H1028" s="35"/>
      <c r="I1028" s="31"/>
      <c r="J1028" s="155">
        <v>0</v>
      </c>
    </row>
    <row r="1029" spans="1:10" ht="15" hidden="1" thickBot="1" x14ac:dyDescent="0.35">
      <c r="A1029" s="229"/>
      <c r="B1029" s="224"/>
      <c r="C1029" s="36" t="s">
        <v>39</v>
      </c>
      <c r="D1029" s="47" t="s">
        <v>12</v>
      </c>
      <c r="E1029" s="37">
        <v>0.49859999999999999</v>
      </c>
      <c r="F1029" s="31">
        <v>19.898499999999999</v>
      </c>
      <c r="G1029" s="34">
        <f t="shared" si="16"/>
        <v>9.9213920999999985</v>
      </c>
      <c r="H1029" s="35"/>
      <c r="I1029" s="31"/>
      <c r="J1029" s="155">
        <v>0</v>
      </c>
    </row>
    <row r="1030" spans="1:10" ht="15" hidden="1" thickBot="1" x14ac:dyDescent="0.35">
      <c r="A1030" s="229"/>
      <c r="B1030" s="224"/>
      <c r="C1030" s="36" t="s">
        <v>23</v>
      </c>
      <c r="D1030" s="47" t="s">
        <v>12</v>
      </c>
      <c r="E1030" s="37">
        <v>0.34949999999999998</v>
      </c>
      <c r="F1030" s="31">
        <v>14.968499999999999</v>
      </c>
      <c r="G1030" s="34">
        <f t="shared" si="16"/>
        <v>5.231490749999999</v>
      </c>
      <c r="H1030" s="35"/>
      <c r="I1030" s="31"/>
      <c r="J1030" s="155">
        <v>0</v>
      </c>
    </row>
    <row r="1031" spans="1:10" ht="15" hidden="1" thickBot="1" x14ac:dyDescent="0.35">
      <c r="A1031" s="230"/>
      <c r="B1031" s="225"/>
      <c r="C1031" s="36"/>
      <c r="D1031" s="36"/>
      <c r="E1031" s="37"/>
      <c r="F1031" s="31" t="s">
        <v>560</v>
      </c>
      <c r="G1031" s="31" t="str">
        <f t="shared" si="16"/>
        <v/>
      </c>
      <c r="H1031" s="35"/>
      <c r="I1031" s="31"/>
      <c r="J1031" s="155">
        <v>0</v>
      </c>
    </row>
    <row r="1032" spans="1:10" ht="15" hidden="1" thickBot="1" x14ac:dyDescent="0.35">
      <c r="A1032" s="226" t="s">
        <v>356</v>
      </c>
      <c r="B1032" s="223" t="e">
        <f>INDEX(#REF!,MATCH(Composições!A1032,#REF!,0),2)</f>
        <v>#REF!</v>
      </c>
      <c r="C1032" s="41"/>
      <c r="D1032" s="26" t="e">
        <f>TRIM(INDEX(#REF!,MATCH(Composições!A1032,#REF!,0),1))</f>
        <v>#REF!</v>
      </c>
      <c r="E1032" s="27"/>
      <c r="F1032" s="42" t="s">
        <v>560</v>
      </c>
      <c r="G1032" s="28" t="str">
        <f t="shared" si="16"/>
        <v/>
      </c>
      <c r="H1032" s="29"/>
      <c r="I1032" s="30"/>
      <c r="J1032" s="155">
        <v>0</v>
      </c>
    </row>
    <row r="1033" spans="1:10" ht="15" hidden="1" thickBot="1" x14ac:dyDescent="0.35">
      <c r="A1033" s="229"/>
      <c r="B1033" s="224"/>
      <c r="C1033" s="32"/>
      <c r="D1033" s="32"/>
      <c r="E1033" s="33"/>
      <c r="F1033" s="43" t="s">
        <v>560</v>
      </c>
      <c r="G1033" s="31" t="str">
        <f t="shared" si="16"/>
        <v/>
      </c>
      <c r="H1033" s="35"/>
      <c r="I1033" s="31"/>
      <c r="J1033" s="155">
        <v>0</v>
      </c>
    </row>
    <row r="1034" spans="1:10" ht="27" hidden="1" thickBot="1" x14ac:dyDescent="0.35">
      <c r="A1034" s="229"/>
      <c r="B1034" s="224"/>
      <c r="C1034" s="36" t="s">
        <v>357</v>
      </c>
      <c r="D1034" s="47" t="s">
        <v>147</v>
      </c>
      <c r="E1034" s="37">
        <v>1</v>
      </c>
      <c r="F1034" s="34" t="s">
        <v>560</v>
      </c>
      <c r="G1034" s="34" t="str">
        <f t="shared" si="16"/>
        <v/>
      </c>
      <c r="H1034" s="39">
        <f>SUM(G1034:G1039)</f>
        <v>47.030233099999997</v>
      </c>
      <c r="I1034" s="40"/>
      <c r="J1034" s="155">
        <v>0</v>
      </c>
    </row>
    <row r="1035" spans="1:10" ht="27" hidden="1" thickBot="1" x14ac:dyDescent="0.35">
      <c r="A1035" s="229"/>
      <c r="B1035" s="224"/>
      <c r="C1035" s="36" t="s">
        <v>355</v>
      </c>
      <c r="D1035" s="47" t="s">
        <v>292</v>
      </c>
      <c r="E1035" s="37">
        <v>2</v>
      </c>
      <c r="F1035" s="34">
        <v>12.622499999999999</v>
      </c>
      <c r="G1035" s="34">
        <f t="shared" si="16"/>
        <v>25.244999999999997</v>
      </c>
      <c r="H1035" s="35"/>
      <c r="I1035" s="31"/>
      <c r="J1035" s="155">
        <v>0</v>
      </c>
    </row>
    <row r="1036" spans="1:10" ht="15" hidden="1" thickBot="1" x14ac:dyDescent="0.35">
      <c r="A1036" s="229"/>
      <c r="B1036" s="224"/>
      <c r="C1036" s="36" t="s">
        <v>319</v>
      </c>
      <c r="D1036" s="47" t="s">
        <v>20</v>
      </c>
      <c r="E1036" s="37">
        <v>1</v>
      </c>
      <c r="F1036" s="34">
        <v>2.4649999999999999</v>
      </c>
      <c r="G1036" s="54">
        <f t="shared" si="16"/>
        <v>2.4649999999999999</v>
      </c>
      <c r="H1036" s="35"/>
      <c r="I1036" s="31"/>
      <c r="J1036" s="155">
        <v>0</v>
      </c>
    </row>
    <row r="1037" spans="1:10" ht="15" hidden="1" thickBot="1" x14ac:dyDescent="0.35">
      <c r="A1037" s="229"/>
      <c r="B1037" s="224"/>
      <c r="C1037" s="36" t="s">
        <v>1935</v>
      </c>
      <c r="D1037" s="47" t="s">
        <v>42</v>
      </c>
      <c r="E1037" s="37">
        <v>8.8099999999999998E-2</v>
      </c>
      <c r="F1037" s="34">
        <v>47.302499999999995</v>
      </c>
      <c r="G1037" s="34">
        <f t="shared" si="16"/>
        <v>4.1673502499999993</v>
      </c>
      <c r="H1037" s="35"/>
      <c r="I1037" s="31"/>
      <c r="J1037" s="155">
        <v>0</v>
      </c>
    </row>
    <row r="1038" spans="1:10" ht="15" hidden="1" thickBot="1" x14ac:dyDescent="0.35">
      <c r="A1038" s="229"/>
      <c r="B1038" s="224"/>
      <c r="C1038" s="36" t="s">
        <v>39</v>
      </c>
      <c r="D1038" s="47" t="s">
        <v>12</v>
      </c>
      <c r="E1038" s="37">
        <v>0.49859999999999999</v>
      </c>
      <c r="F1038" s="31">
        <v>19.898499999999999</v>
      </c>
      <c r="G1038" s="34">
        <f t="shared" si="16"/>
        <v>9.9213920999999985</v>
      </c>
      <c r="H1038" s="35"/>
      <c r="I1038" s="31"/>
      <c r="J1038" s="155">
        <v>0</v>
      </c>
    </row>
    <row r="1039" spans="1:10" ht="15" hidden="1" thickBot="1" x14ac:dyDescent="0.35">
      <c r="A1039" s="229"/>
      <c r="B1039" s="224"/>
      <c r="C1039" s="36" t="s">
        <v>23</v>
      </c>
      <c r="D1039" s="47" t="s">
        <v>12</v>
      </c>
      <c r="E1039" s="37">
        <v>0.34949999999999998</v>
      </c>
      <c r="F1039" s="31">
        <v>14.968499999999999</v>
      </c>
      <c r="G1039" s="34">
        <f t="shared" si="16"/>
        <v>5.231490749999999</v>
      </c>
      <c r="H1039" s="35"/>
      <c r="I1039" s="31"/>
      <c r="J1039" s="155">
        <v>0</v>
      </c>
    </row>
    <row r="1040" spans="1:10" ht="15" hidden="1" thickBot="1" x14ac:dyDescent="0.35">
      <c r="A1040" s="230"/>
      <c r="B1040" s="225"/>
      <c r="C1040" s="36"/>
      <c r="D1040" s="36"/>
      <c r="E1040" s="37"/>
      <c r="F1040" s="31" t="s">
        <v>560</v>
      </c>
      <c r="G1040" s="31" t="str">
        <f t="shared" si="16"/>
        <v/>
      </c>
      <c r="H1040" s="35"/>
      <c r="I1040" s="31"/>
      <c r="J1040" s="155">
        <v>0</v>
      </c>
    </row>
    <row r="1041" spans="1:10" ht="15" hidden="1" thickBot="1" x14ac:dyDescent="0.35">
      <c r="A1041" s="226" t="s">
        <v>358</v>
      </c>
      <c r="B1041" s="223" t="e">
        <f>INDEX(#REF!,MATCH(Composições!A1041,#REF!,0),2)</f>
        <v>#REF!</v>
      </c>
      <c r="C1041" s="41"/>
      <c r="D1041" s="26" t="e">
        <f>TRIM(INDEX(#REF!,MATCH(Composições!A1041,#REF!,0),1))</f>
        <v>#REF!</v>
      </c>
      <c r="E1041" s="27"/>
      <c r="F1041" s="42" t="s">
        <v>560</v>
      </c>
      <c r="G1041" s="28" t="str">
        <f t="shared" si="16"/>
        <v/>
      </c>
      <c r="H1041" s="29"/>
      <c r="I1041" s="30"/>
      <c r="J1041" s="155">
        <v>0</v>
      </c>
    </row>
    <row r="1042" spans="1:10" ht="15" hidden="1" thickBot="1" x14ac:dyDescent="0.35">
      <c r="A1042" s="229"/>
      <c r="B1042" s="224"/>
      <c r="C1042" s="32"/>
      <c r="D1042" s="32"/>
      <c r="E1042" s="33"/>
      <c r="F1042" s="43" t="s">
        <v>560</v>
      </c>
      <c r="G1042" s="31" t="str">
        <f t="shared" ref="G1042:G1105" si="17">IF(ISNUMBER(F1042),E1042*F1042,"")</f>
        <v/>
      </c>
      <c r="H1042" s="35"/>
      <c r="I1042" s="31"/>
      <c r="J1042" s="155">
        <v>0</v>
      </c>
    </row>
    <row r="1043" spans="1:10" ht="15" hidden="1" thickBot="1" x14ac:dyDescent="0.35">
      <c r="A1043" s="229"/>
      <c r="B1043" s="224"/>
      <c r="C1043" s="36" t="s">
        <v>359</v>
      </c>
      <c r="D1043" s="47" t="s">
        <v>147</v>
      </c>
      <c r="E1043" s="37">
        <v>1</v>
      </c>
      <c r="F1043" s="34" t="s">
        <v>560</v>
      </c>
      <c r="G1043" s="34" t="str">
        <f t="shared" si="17"/>
        <v/>
      </c>
      <c r="H1043" s="39">
        <f>SUM(G1043:G1046)</f>
        <v>29.938470499999998</v>
      </c>
      <c r="I1043" s="40"/>
      <c r="J1043" s="155">
        <v>0</v>
      </c>
    </row>
    <row r="1044" spans="1:10" ht="15" hidden="1" thickBot="1" x14ac:dyDescent="0.35">
      <c r="A1044" s="229"/>
      <c r="B1044" s="224"/>
      <c r="C1044" s="36" t="s">
        <v>360</v>
      </c>
      <c r="D1044" s="47" t="s">
        <v>42</v>
      </c>
      <c r="E1044" s="37">
        <v>0.52710000000000001</v>
      </c>
      <c r="F1044" s="34">
        <v>22.074499999999997</v>
      </c>
      <c r="G1044" s="34">
        <f t="shared" si="17"/>
        <v>11.635468949999998</v>
      </c>
      <c r="H1044" s="35"/>
      <c r="I1044" s="31"/>
      <c r="J1044" s="155">
        <v>0</v>
      </c>
    </row>
    <row r="1045" spans="1:10" ht="15" hidden="1" thickBot="1" x14ac:dyDescent="0.35">
      <c r="A1045" s="229"/>
      <c r="B1045" s="224"/>
      <c r="C1045" s="36" t="s">
        <v>23</v>
      </c>
      <c r="D1045" s="47" t="s">
        <v>12</v>
      </c>
      <c r="E1045" s="37">
        <v>0.26650000000000001</v>
      </c>
      <c r="F1045" s="31">
        <v>14.968499999999999</v>
      </c>
      <c r="G1045" s="34">
        <f t="shared" si="17"/>
        <v>3.9891052499999997</v>
      </c>
      <c r="H1045" s="35"/>
      <c r="I1045" s="31"/>
      <c r="J1045" s="155">
        <v>0</v>
      </c>
    </row>
    <row r="1046" spans="1:10" ht="15" hidden="1" thickBot="1" x14ac:dyDescent="0.35">
      <c r="A1046" s="229"/>
      <c r="B1046" s="224"/>
      <c r="C1046" s="36" t="s">
        <v>54</v>
      </c>
      <c r="D1046" s="47" t="s">
        <v>12</v>
      </c>
      <c r="E1046" s="37">
        <v>0.8458</v>
      </c>
      <c r="F1046" s="31">
        <v>16.923500000000001</v>
      </c>
      <c r="G1046" s="34">
        <f t="shared" si="17"/>
        <v>14.3138963</v>
      </c>
      <c r="H1046" s="35"/>
      <c r="I1046" s="31"/>
      <c r="J1046" s="155">
        <v>0</v>
      </c>
    </row>
    <row r="1047" spans="1:10" ht="15" hidden="1" thickBot="1" x14ac:dyDescent="0.35">
      <c r="A1047" s="230"/>
      <c r="B1047" s="225"/>
      <c r="C1047" s="36"/>
      <c r="D1047" s="36"/>
      <c r="E1047" s="37"/>
      <c r="F1047" s="31" t="s">
        <v>560</v>
      </c>
      <c r="G1047" s="31" t="str">
        <f t="shared" si="17"/>
        <v/>
      </c>
      <c r="H1047" s="35"/>
      <c r="I1047" s="31"/>
      <c r="J1047" s="155">
        <v>0</v>
      </c>
    </row>
    <row r="1048" spans="1:10" ht="15" hidden="1" thickBot="1" x14ac:dyDescent="0.35">
      <c r="A1048" s="226" t="s">
        <v>361</v>
      </c>
      <c r="B1048" s="223" t="e">
        <f>INDEX(#REF!,MATCH(Composições!A1048,#REF!,0),2)</f>
        <v>#REF!</v>
      </c>
      <c r="C1048" s="41"/>
      <c r="D1048" s="26" t="e">
        <f>TRIM(INDEX(#REF!,MATCH(Composições!A1048,#REF!,0),1))</f>
        <v>#REF!</v>
      </c>
      <c r="E1048" s="27"/>
      <c r="F1048" s="42" t="s">
        <v>560</v>
      </c>
      <c r="G1048" s="28" t="str">
        <f t="shared" si="17"/>
        <v/>
      </c>
      <c r="H1048" s="29"/>
      <c r="I1048" s="30"/>
      <c r="J1048" s="155">
        <v>0</v>
      </c>
    </row>
    <row r="1049" spans="1:10" ht="15" hidden="1" thickBot="1" x14ac:dyDescent="0.35">
      <c r="A1049" s="229"/>
      <c r="B1049" s="224"/>
      <c r="C1049" s="32"/>
      <c r="D1049" s="32"/>
      <c r="E1049" s="33"/>
      <c r="F1049" s="43" t="s">
        <v>560</v>
      </c>
      <c r="G1049" s="31" t="str">
        <f t="shared" si="17"/>
        <v/>
      </c>
      <c r="H1049" s="35"/>
      <c r="I1049" s="31"/>
      <c r="J1049" s="155">
        <v>0</v>
      </c>
    </row>
    <row r="1050" spans="1:10" ht="40.200000000000003" hidden="1" thickBot="1" x14ac:dyDescent="0.35">
      <c r="A1050" s="229"/>
      <c r="B1050" s="224"/>
      <c r="C1050" s="36" t="s">
        <v>362</v>
      </c>
      <c r="D1050" s="47" t="s">
        <v>147</v>
      </c>
      <c r="E1050" s="37">
        <v>1</v>
      </c>
      <c r="F1050" s="34" t="s">
        <v>560</v>
      </c>
      <c r="G1050" s="34" t="str">
        <f t="shared" si="17"/>
        <v/>
      </c>
      <c r="H1050" s="39">
        <f>SUM(G1050:G1053)</f>
        <v>16.895497599999999</v>
      </c>
      <c r="I1050" s="40"/>
      <c r="J1050" s="155">
        <v>0</v>
      </c>
    </row>
    <row r="1051" spans="1:10" ht="15" hidden="1" thickBot="1" x14ac:dyDescent="0.35">
      <c r="A1051" s="229"/>
      <c r="B1051" s="224"/>
      <c r="C1051" s="36" t="s">
        <v>360</v>
      </c>
      <c r="D1051" s="47" t="s">
        <v>42</v>
      </c>
      <c r="E1051" s="37">
        <v>0.2974</v>
      </c>
      <c r="F1051" s="34">
        <v>22.074499999999997</v>
      </c>
      <c r="G1051" s="34">
        <f t="shared" si="17"/>
        <v>6.5649562999999986</v>
      </c>
      <c r="H1051" s="35"/>
      <c r="I1051" s="31"/>
      <c r="J1051" s="155">
        <v>0</v>
      </c>
    </row>
    <row r="1052" spans="1:10" ht="15" hidden="1" thickBot="1" x14ac:dyDescent="0.35">
      <c r="A1052" s="229"/>
      <c r="B1052" s="224"/>
      <c r="C1052" s="36" t="s">
        <v>54</v>
      </c>
      <c r="D1052" s="47" t="s">
        <v>12</v>
      </c>
      <c r="E1052" s="37">
        <v>0.47739999999999999</v>
      </c>
      <c r="F1052" s="31">
        <v>16.923500000000001</v>
      </c>
      <c r="G1052" s="34">
        <f t="shared" si="17"/>
        <v>8.0792789000000003</v>
      </c>
      <c r="H1052" s="35"/>
      <c r="I1052" s="31"/>
      <c r="J1052" s="155">
        <v>0</v>
      </c>
    </row>
    <row r="1053" spans="1:10" ht="15" hidden="1" thickBot="1" x14ac:dyDescent="0.35">
      <c r="A1053" s="229"/>
      <c r="B1053" s="224"/>
      <c r="C1053" s="36" t="s">
        <v>23</v>
      </c>
      <c r="D1053" s="47" t="s">
        <v>12</v>
      </c>
      <c r="E1053" s="37">
        <v>0.15040000000000001</v>
      </c>
      <c r="F1053" s="31">
        <v>14.968499999999999</v>
      </c>
      <c r="G1053" s="34">
        <f t="shared" si="17"/>
        <v>2.2512623999999999</v>
      </c>
      <c r="H1053" s="35"/>
      <c r="I1053" s="31"/>
      <c r="J1053" s="155">
        <v>0</v>
      </c>
    </row>
    <row r="1054" spans="1:10" ht="15" hidden="1" thickBot="1" x14ac:dyDescent="0.35">
      <c r="A1054" s="230"/>
      <c r="B1054" s="225"/>
      <c r="C1054" s="36"/>
      <c r="D1054" s="36"/>
      <c r="E1054" s="37"/>
      <c r="F1054" s="31" t="s">
        <v>560</v>
      </c>
      <c r="G1054" s="31" t="str">
        <f t="shared" si="17"/>
        <v/>
      </c>
      <c r="H1054" s="35"/>
      <c r="I1054" s="31"/>
      <c r="J1054" s="155">
        <v>0</v>
      </c>
    </row>
    <row r="1055" spans="1:10" ht="15" hidden="1" thickBot="1" x14ac:dyDescent="0.35">
      <c r="A1055" s="226" t="s">
        <v>363</v>
      </c>
      <c r="B1055" s="223" t="e">
        <f>INDEX(#REF!,MATCH(Composições!A1055,#REF!,0),2)</f>
        <v>#REF!</v>
      </c>
      <c r="C1055" s="41"/>
      <c r="D1055" s="26" t="e">
        <f>TRIM(INDEX(#REF!,MATCH(Composições!A1055,#REF!,0),1))</f>
        <v>#REF!</v>
      </c>
      <c r="E1055" s="27"/>
      <c r="F1055" s="42" t="s">
        <v>560</v>
      </c>
      <c r="G1055" s="28" t="str">
        <f t="shared" si="17"/>
        <v/>
      </c>
      <c r="H1055" s="29"/>
      <c r="I1055" s="30"/>
      <c r="J1055" s="155">
        <v>0</v>
      </c>
    </row>
    <row r="1056" spans="1:10" ht="15" hidden="1" thickBot="1" x14ac:dyDescent="0.35">
      <c r="A1056" s="229"/>
      <c r="B1056" s="224"/>
      <c r="C1056" s="32"/>
      <c r="D1056" s="32"/>
      <c r="E1056" s="33"/>
      <c r="F1056" s="43" t="s">
        <v>560</v>
      </c>
      <c r="G1056" s="31" t="str">
        <f t="shared" si="17"/>
        <v/>
      </c>
      <c r="H1056" s="35"/>
      <c r="I1056" s="31"/>
      <c r="J1056" s="155">
        <v>0</v>
      </c>
    </row>
    <row r="1057" spans="1:10" ht="15" hidden="1" thickBot="1" x14ac:dyDescent="0.35">
      <c r="A1057" s="229"/>
      <c r="B1057" s="224"/>
      <c r="C1057" s="36" t="s">
        <v>364</v>
      </c>
      <c r="D1057" s="47" t="s">
        <v>147</v>
      </c>
      <c r="E1057" s="37">
        <v>1</v>
      </c>
      <c r="F1057" s="34" t="s">
        <v>560</v>
      </c>
      <c r="G1057" s="34" t="str">
        <f t="shared" si="17"/>
        <v/>
      </c>
      <c r="H1057" s="39">
        <f>SUM(G1057:G1060)</f>
        <v>29.938470499999998</v>
      </c>
      <c r="I1057" s="40"/>
      <c r="J1057" s="155">
        <v>0</v>
      </c>
    </row>
    <row r="1058" spans="1:10" ht="15" hidden="1" thickBot="1" x14ac:dyDescent="0.35">
      <c r="A1058" s="229"/>
      <c r="B1058" s="224"/>
      <c r="C1058" s="36" t="s">
        <v>360</v>
      </c>
      <c r="D1058" s="47" t="s">
        <v>42</v>
      </c>
      <c r="E1058" s="37">
        <v>0.52710000000000001</v>
      </c>
      <c r="F1058" s="34">
        <v>22.074499999999997</v>
      </c>
      <c r="G1058" s="34">
        <f t="shared" si="17"/>
        <v>11.635468949999998</v>
      </c>
      <c r="H1058" s="35"/>
      <c r="I1058" s="31"/>
      <c r="J1058" s="155">
        <v>0</v>
      </c>
    </row>
    <row r="1059" spans="1:10" ht="15" hidden="1" thickBot="1" x14ac:dyDescent="0.35">
      <c r="A1059" s="229"/>
      <c r="B1059" s="224"/>
      <c r="C1059" s="36" t="s">
        <v>23</v>
      </c>
      <c r="D1059" s="47" t="s">
        <v>12</v>
      </c>
      <c r="E1059" s="37">
        <v>0.26650000000000001</v>
      </c>
      <c r="F1059" s="31">
        <v>14.968499999999999</v>
      </c>
      <c r="G1059" s="34">
        <f t="shared" si="17"/>
        <v>3.9891052499999997</v>
      </c>
      <c r="H1059" s="35"/>
      <c r="I1059" s="31"/>
      <c r="J1059" s="155">
        <v>0</v>
      </c>
    </row>
    <row r="1060" spans="1:10" ht="15" hidden="1" thickBot="1" x14ac:dyDescent="0.35">
      <c r="A1060" s="229"/>
      <c r="B1060" s="224"/>
      <c r="C1060" s="36" t="s">
        <v>54</v>
      </c>
      <c r="D1060" s="47" t="s">
        <v>12</v>
      </c>
      <c r="E1060" s="37">
        <v>0.8458</v>
      </c>
      <c r="F1060" s="31">
        <v>16.923500000000001</v>
      </c>
      <c r="G1060" s="34">
        <f t="shared" si="17"/>
        <v>14.3138963</v>
      </c>
      <c r="H1060" s="35"/>
      <c r="I1060" s="31"/>
      <c r="J1060" s="155">
        <v>0</v>
      </c>
    </row>
    <row r="1061" spans="1:10" ht="15" hidden="1" thickBot="1" x14ac:dyDescent="0.35">
      <c r="A1061" s="230"/>
      <c r="B1061" s="225"/>
      <c r="C1061" s="36"/>
      <c r="D1061" s="36"/>
      <c r="E1061" s="37"/>
      <c r="F1061" s="31" t="s">
        <v>560</v>
      </c>
      <c r="G1061" s="31" t="str">
        <f t="shared" si="17"/>
        <v/>
      </c>
      <c r="H1061" s="35"/>
      <c r="I1061" s="31"/>
      <c r="J1061" s="155">
        <v>0</v>
      </c>
    </row>
    <row r="1062" spans="1:10" ht="15" hidden="1" thickBot="1" x14ac:dyDescent="0.35">
      <c r="A1062" s="226" t="s">
        <v>365</v>
      </c>
      <c r="B1062" s="223" t="e">
        <f>INDEX(#REF!,MATCH(Composições!A1062,#REF!,0),2)</f>
        <v>#REF!</v>
      </c>
      <c r="C1062" s="41"/>
      <c r="D1062" s="26" t="e">
        <f>TRIM(INDEX(#REF!,MATCH(Composições!A1062,#REF!,0),1))</f>
        <v>#REF!</v>
      </c>
      <c r="E1062" s="27"/>
      <c r="F1062" s="42" t="s">
        <v>560</v>
      </c>
      <c r="G1062" s="28" t="str">
        <f t="shared" si="17"/>
        <v/>
      </c>
      <c r="H1062" s="29"/>
      <c r="I1062" s="30"/>
      <c r="J1062" s="155">
        <v>0</v>
      </c>
    </row>
    <row r="1063" spans="1:10" ht="15" hidden="1" thickBot="1" x14ac:dyDescent="0.35">
      <c r="A1063" s="229"/>
      <c r="B1063" s="224"/>
      <c r="C1063" s="32"/>
      <c r="D1063" s="32"/>
      <c r="E1063" s="33"/>
      <c r="F1063" s="43" t="s">
        <v>560</v>
      </c>
      <c r="G1063" s="31" t="str">
        <f t="shared" si="17"/>
        <v/>
      </c>
      <c r="H1063" s="35"/>
      <c r="I1063" s="31"/>
      <c r="J1063" s="155">
        <v>0</v>
      </c>
    </row>
    <row r="1064" spans="1:10" ht="27" hidden="1" thickBot="1" x14ac:dyDescent="0.35">
      <c r="A1064" s="229"/>
      <c r="B1064" s="224"/>
      <c r="C1064" s="36" t="s">
        <v>366</v>
      </c>
      <c r="D1064" s="47" t="s">
        <v>292</v>
      </c>
      <c r="E1064" s="37">
        <v>2</v>
      </c>
      <c r="F1064" s="34">
        <v>9.3584999999999994</v>
      </c>
      <c r="G1064" s="34">
        <f t="shared" si="17"/>
        <v>18.716999999999999</v>
      </c>
      <c r="H1064" s="39">
        <f>SUM(G1064:G1067)</f>
        <v>30.678774599999993</v>
      </c>
      <c r="I1064" s="40"/>
      <c r="J1064" s="155">
        <v>0</v>
      </c>
    </row>
    <row r="1065" spans="1:10" ht="15" hidden="1" thickBot="1" x14ac:dyDescent="0.35">
      <c r="A1065" s="229"/>
      <c r="B1065" s="224"/>
      <c r="C1065" s="36" t="s">
        <v>1935</v>
      </c>
      <c r="D1065" s="47" t="s">
        <v>42</v>
      </c>
      <c r="E1065" s="37">
        <v>3.04E-2</v>
      </c>
      <c r="F1065" s="34">
        <v>47.302499999999995</v>
      </c>
      <c r="G1065" s="34">
        <f t="shared" si="17"/>
        <v>1.4379959999999998</v>
      </c>
      <c r="H1065" s="35"/>
      <c r="I1065" s="31"/>
      <c r="J1065" s="155">
        <v>0</v>
      </c>
    </row>
    <row r="1066" spans="1:10" ht="15" hidden="1" thickBot="1" x14ac:dyDescent="0.35">
      <c r="A1066" s="229"/>
      <c r="B1066" s="224"/>
      <c r="C1066" s="36" t="s">
        <v>39</v>
      </c>
      <c r="D1066" s="47" t="s">
        <v>12</v>
      </c>
      <c r="E1066" s="37">
        <v>0.38700000000000001</v>
      </c>
      <c r="F1066" s="31">
        <v>19.898499999999999</v>
      </c>
      <c r="G1066" s="34">
        <f t="shared" si="17"/>
        <v>7.7007194999999999</v>
      </c>
      <c r="H1066" s="35"/>
      <c r="I1066" s="31"/>
      <c r="J1066" s="155">
        <v>0</v>
      </c>
    </row>
    <row r="1067" spans="1:10" ht="15" hidden="1" thickBot="1" x14ac:dyDescent="0.35">
      <c r="A1067" s="229"/>
      <c r="B1067" s="224"/>
      <c r="C1067" s="36" t="s">
        <v>23</v>
      </c>
      <c r="D1067" s="47" t="s">
        <v>12</v>
      </c>
      <c r="E1067" s="37">
        <v>0.18859999999999999</v>
      </c>
      <c r="F1067" s="31">
        <v>14.968499999999999</v>
      </c>
      <c r="G1067" s="34">
        <f t="shared" si="17"/>
        <v>2.8230590999999996</v>
      </c>
      <c r="H1067" s="35"/>
      <c r="I1067" s="31"/>
      <c r="J1067" s="155">
        <v>0</v>
      </c>
    </row>
    <row r="1068" spans="1:10" ht="15" hidden="1" thickBot="1" x14ac:dyDescent="0.35">
      <c r="A1068" s="229"/>
      <c r="B1068" s="224"/>
      <c r="C1068" s="36"/>
      <c r="D1068" s="47"/>
      <c r="E1068" s="37"/>
      <c r="F1068" s="34" t="s">
        <v>560</v>
      </c>
      <c r="G1068" s="34" t="str">
        <f t="shared" si="17"/>
        <v/>
      </c>
      <c r="H1068" s="35"/>
      <c r="I1068" s="31"/>
      <c r="J1068" s="155">
        <v>0</v>
      </c>
    </row>
    <row r="1069" spans="1:10" ht="15" hidden="1" thickBot="1" x14ac:dyDescent="0.35">
      <c r="A1069" s="226" t="s">
        <v>367</v>
      </c>
      <c r="B1069" s="223" t="e">
        <f>INDEX(#REF!,MATCH(Composições!A1069,#REF!,0),2)</f>
        <v>#REF!</v>
      </c>
      <c r="C1069" s="41"/>
      <c r="D1069" s="26" t="e">
        <f>TRIM(INDEX(#REF!,MATCH(Composições!A1069,#REF!,0),1))</f>
        <v>#REF!</v>
      </c>
      <c r="E1069" s="27"/>
      <c r="F1069" s="42" t="s">
        <v>560</v>
      </c>
      <c r="G1069" s="28" t="str">
        <f t="shared" si="17"/>
        <v/>
      </c>
      <c r="H1069" s="29"/>
      <c r="I1069" s="30"/>
      <c r="J1069" s="155">
        <v>0</v>
      </c>
    </row>
    <row r="1070" spans="1:10" ht="15" hidden="1" thickBot="1" x14ac:dyDescent="0.35">
      <c r="A1070" s="229"/>
      <c r="B1070" s="224"/>
      <c r="C1070" s="32"/>
      <c r="D1070" s="32"/>
      <c r="E1070" s="33"/>
      <c r="F1070" s="43" t="s">
        <v>560</v>
      </c>
      <c r="G1070" s="31" t="str">
        <f t="shared" si="17"/>
        <v/>
      </c>
      <c r="H1070" s="35"/>
      <c r="I1070" s="31"/>
      <c r="J1070" s="155">
        <v>0</v>
      </c>
    </row>
    <row r="1071" spans="1:10" ht="27" hidden="1" thickBot="1" x14ac:dyDescent="0.35">
      <c r="A1071" s="229"/>
      <c r="B1071" s="224"/>
      <c r="C1071" s="36" t="s">
        <v>366</v>
      </c>
      <c r="D1071" s="47" t="s">
        <v>292</v>
      </c>
      <c r="E1071" s="37">
        <v>2</v>
      </c>
      <c r="F1071" s="34">
        <v>9.3584999999999994</v>
      </c>
      <c r="G1071" s="31">
        <f t="shared" si="17"/>
        <v>18.716999999999999</v>
      </c>
      <c r="H1071" s="39">
        <f>SUM(G1071:G1074)</f>
        <v>31.249336249999995</v>
      </c>
      <c r="I1071" s="40"/>
      <c r="J1071" s="155">
        <v>0</v>
      </c>
    </row>
    <row r="1072" spans="1:10" ht="15" hidden="1" thickBot="1" x14ac:dyDescent="0.35">
      <c r="A1072" s="229"/>
      <c r="B1072" s="224"/>
      <c r="C1072" s="36" t="s">
        <v>368</v>
      </c>
      <c r="D1072" s="47" t="s">
        <v>292</v>
      </c>
      <c r="E1072" s="37">
        <v>3.6499999999999998E-2</v>
      </c>
      <c r="F1072" s="34">
        <v>3.1110000000000002</v>
      </c>
      <c r="G1072" s="31">
        <f t="shared" si="17"/>
        <v>0.1135515</v>
      </c>
      <c r="H1072" s="35"/>
      <c r="I1072" s="31"/>
      <c r="J1072" s="155">
        <v>0</v>
      </c>
    </row>
    <row r="1073" spans="1:10" ht="15" hidden="1" thickBot="1" x14ac:dyDescent="0.35">
      <c r="A1073" s="229"/>
      <c r="B1073" s="224"/>
      <c r="C1073" s="36" t="s">
        <v>23</v>
      </c>
      <c r="D1073" s="47" t="s">
        <v>12</v>
      </c>
      <c r="E1073" s="37">
        <f>ROUND(0.3179/2,4)</f>
        <v>0.159</v>
      </c>
      <c r="F1073" s="31">
        <v>14.968499999999999</v>
      </c>
      <c r="G1073" s="34">
        <f t="shared" si="17"/>
        <v>2.3799915</v>
      </c>
      <c r="H1073" s="35"/>
      <c r="I1073" s="31"/>
      <c r="J1073" s="155">
        <v>0</v>
      </c>
    </row>
    <row r="1074" spans="1:10" ht="15" hidden="1" thickBot="1" x14ac:dyDescent="0.35">
      <c r="A1074" s="229"/>
      <c r="B1074" s="224"/>
      <c r="C1074" s="36" t="s">
        <v>39</v>
      </c>
      <c r="D1074" s="47" t="s">
        <v>12</v>
      </c>
      <c r="E1074" s="37">
        <f>1.009/2</f>
        <v>0.50449999999999995</v>
      </c>
      <c r="F1074" s="31">
        <v>19.898499999999999</v>
      </c>
      <c r="G1074" s="34">
        <f t="shared" si="17"/>
        <v>10.038793249999998</v>
      </c>
      <c r="H1074" s="35"/>
      <c r="I1074" s="31"/>
      <c r="J1074" s="155">
        <v>0</v>
      </c>
    </row>
    <row r="1075" spans="1:10" ht="15" hidden="1" thickBot="1" x14ac:dyDescent="0.35">
      <c r="A1075" s="229"/>
      <c r="B1075" s="224"/>
      <c r="C1075" s="36"/>
      <c r="D1075" s="47"/>
      <c r="E1075" s="37"/>
      <c r="F1075" s="34" t="s">
        <v>560</v>
      </c>
      <c r="G1075" s="34" t="str">
        <f t="shared" si="17"/>
        <v/>
      </c>
      <c r="H1075" s="35"/>
      <c r="I1075" s="31"/>
      <c r="J1075" s="155">
        <v>0</v>
      </c>
    </row>
    <row r="1076" spans="1:10" ht="27" hidden="1" thickBot="1" x14ac:dyDescent="0.35">
      <c r="A1076" s="229"/>
      <c r="B1076" s="224"/>
      <c r="C1076" s="52" t="s">
        <v>369</v>
      </c>
      <c r="D1076" s="47"/>
      <c r="E1076" s="37"/>
      <c r="F1076" s="34" t="s">
        <v>560</v>
      </c>
      <c r="G1076" s="34" t="str">
        <f t="shared" si="17"/>
        <v/>
      </c>
      <c r="H1076" s="35"/>
      <c r="I1076" s="31"/>
      <c r="J1076" s="155">
        <v>0</v>
      </c>
    </row>
    <row r="1077" spans="1:10" ht="15" hidden="1" thickBot="1" x14ac:dyDescent="0.35">
      <c r="A1077" s="229"/>
      <c r="B1077" s="224"/>
      <c r="C1077" s="36"/>
      <c r="D1077" s="36"/>
      <c r="E1077" s="37"/>
      <c r="F1077" s="34" t="s">
        <v>560</v>
      </c>
      <c r="G1077" s="34" t="str">
        <f t="shared" si="17"/>
        <v/>
      </c>
      <c r="H1077" s="35"/>
      <c r="I1077" s="31"/>
      <c r="J1077" s="155">
        <v>0</v>
      </c>
    </row>
    <row r="1078" spans="1:10" ht="15" hidden="1" thickBot="1" x14ac:dyDescent="0.35">
      <c r="A1078" s="226" t="s">
        <v>370</v>
      </c>
      <c r="B1078" s="223" t="e">
        <f>INDEX(#REF!,MATCH(Composições!A1078,#REF!,0),2)</f>
        <v>#REF!</v>
      </c>
      <c r="C1078" s="41"/>
      <c r="D1078" s="26" t="e">
        <f>TRIM(INDEX(#REF!,MATCH(Composições!A1078,#REF!,0),1))</f>
        <v>#REF!</v>
      </c>
      <c r="E1078" s="27"/>
      <c r="F1078" s="42" t="s">
        <v>560</v>
      </c>
      <c r="G1078" s="28" t="str">
        <f t="shared" si="17"/>
        <v/>
      </c>
      <c r="H1078" s="29"/>
      <c r="I1078" s="30"/>
      <c r="J1078" s="155">
        <v>0</v>
      </c>
    </row>
    <row r="1079" spans="1:10" ht="15" hidden="1" thickBot="1" x14ac:dyDescent="0.35">
      <c r="A1079" s="229"/>
      <c r="B1079" s="224"/>
      <c r="C1079" s="32"/>
      <c r="D1079" s="32"/>
      <c r="E1079" s="33"/>
      <c r="F1079" s="43" t="s">
        <v>560</v>
      </c>
      <c r="G1079" s="31" t="str">
        <f t="shared" si="17"/>
        <v/>
      </c>
      <c r="H1079" s="35"/>
      <c r="I1079" s="31"/>
      <c r="J1079" s="155">
        <v>0</v>
      </c>
    </row>
    <row r="1080" spans="1:10" ht="27" hidden="1" thickBot="1" x14ac:dyDescent="0.35">
      <c r="A1080" s="229"/>
      <c r="B1080" s="224"/>
      <c r="C1080" s="36" t="s">
        <v>355</v>
      </c>
      <c r="D1080" s="47" t="s">
        <v>292</v>
      </c>
      <c r="E1080" s="37">
        <v>2</v>
      </c>
      <c r="F1080" s="34">
        <v>12.622499999999999</v>
      </c>
      <c r="G1080" s="34">
        <f t="shared" si="17"/>
        <v>25.244999999999997</v>
      </c>
      <c r="H1080" s="39">
        <f>SUM(G1080:G1084)</f>
        <v>46.994415799999992</v>
      </c>
      <c r="I1080" s="40"/>
      <c r="J1080" s="155">
        <v>0</v>
      </c>
    </row>
    <row r="1081" spans="1:10" ht="15" hidden="1" thickBot="1" x14ac:dyDescent="0.35">
      <c r="A1081" s="229"/>
      <c r="B1081" s="224"/>
      <c r="C1081" s="36" t="s">
        <v>319</v>
      </c>
      <c r="D1081" s="47" t="s">
        <v>20</v>
      </c>
      <c r="E1081" s="37">
        <v>1</v>
      </c>
      <c r="F1081" s="34">
        <v>2.4649999999999999</v>
      </c>
      <c r="G1081" s="54">
        <f t="shared" si="17"/>
        <v>2.4649999999999999</v>
      </c>
      <c r="H1081" s="35"/>
      <c r="I1081" s="31"/>
      <c r="J1081" s="155">
        <v>0</v>
      </c>
    </row>
    <row r="1082" spans="1:10" ht="15" hidden="1" thickBot="1" x14ac:dyDescent="0.35">
      <c r="A1082" s="229"/>
      <c r="B1082" s="224"/>
      <c r="C1082" s="36" t="s">
        <v>1935</v>
      </c>
      <c r="D1082" s="47" t="s">
        <v>42</v>
      </c>
      <c r="E1082" s="37">
        <v>8.8099999999999998E-2</v>
      </c>
      <c r="F1082" s="34">
        <v>47.302499999999995</v>
      </c>
      <c r="G1082" s="34">
        <f t="shared" si="17"/>
        <v>4.1673502499999993</v>
      </c>
      <c r="H1082" s="35"/>
      <c r="I1082" s="31"/>
      <c r="J1082" s="155">
        <v>0</v>
      </c>
    </row>
    <row r="1083" spans="1:10" ht="15" hidden="1" thickBot="1" x14ac:dyDescent="0.35">
      <c r="A1083" s="229"/>
      <c r="B1083" s="224"/>
      <c r="C1083" s="36" t="s">
        <v>39</v>
      </c>
      <c r="D1083" s="47" t="s">
        <v>12</v>
      </c>
      <c r="E1083" s="37">
        <v>0.49680000000000002</v>
      </c>
      <c r="F1083" s="31">
        <v>19.898499999999999</v>
      </c>
      <c r="G1083" s="34">
        <f t="shared" si="17"/>
        <v>9.8855747999999988</v>
      </c>
      <c r="H1083" s="35"/>
      <c r="I1083" s="31"/>
      <c r="J1083" s="155">
        <v>0</v>
      </c>
    </row>
    <row r="1084" spans="1:10" ht="15" hidden="1" thickBot="1" x14ac:dyDescent="0.35">
      <c r="A1084" s="229"/>
      <c r="B1084" s="224"/>
      <c r="C1084" s="36" t="s">
        <v>23</v>
      </c>
      <c r="D1084" s="47" t="s">
        <v>12</v>
      </c>
      <c r="E1084" s="37">
        <v>0.34949999999999998</v>
      </c>
      <c r="F1084" s="31">
        <v>14.968499999999999</v>
      </c>
      <c r="G1084" s="34">
        <f t="shared" si="17"/>
        <v>5.231490749999999</v>
      </c>
      <c r="H1084" s="35"/>
      <c r="I1084" s="31"/>
      <c r="J1084" s="155">
        <v>0</v>
      </c>
    </row>
    <row r="1085" spans="1:10" ht="15" hidden="1" thickBot="1" x14ac:dyDescent="0.35">
      <c r="A1085" s="229"/>
      <c r="B1085" s="224"/>
      <c r="C1085" s="36"/>
      <c r="D1085" s="36"/>
      <c r="E1085" s="37"/>
      <c r="F1085" s="31" t="s">
        <v>560</v>
      </c>
      <c r="G1085" s="34" t="str">
        <f t="shared" si="17"/>
        <v/>
      </c>
      <c r="H1085" s="35"/>
      <c r="I1085" s="31"/>
      <c r="J1085" s="155">
        <v>0</v>
      </c>
    </row>
    <row r="1086" spans="1:10" ht="15" hidden="1" thickBot="1" x14ac:dyDescent="0.35">
      <c r="A1086" s="226" t="s">
        <v>371</v>
      </c>
      <c r="B1086" s="223" t="e">
        <f>INDEX(#REF!,MATCH(Composições!A1086,#REF!,0),2)</f>
        <v>#REF!</v>
      </c>
      <c r="C1086" s="41"/>
      <c r="D1086" s="26" t="e">
        <f>TRIM(INDEX(#REF!,MATCH(Composições!A1086,#REF!,0),1))</f>
        <v>#REF!</v>
      </c>
      <c r="E1086" s="27"/>
      <c r="F1086" s="42" t="s">
        <v>560</v>
      </c>
      <c r="G1086" s="28" t="str">
        <f t="shared" si="17"/>
        <v/>
      </c>
      <c r="H1086" s="29"/>
      <c r="I1086" s="30"/>
      <c r="J1086" s="155">
        <v>0</v>
      </c>
    </row>
    <row r="1087" spans="1:10" ht="15" hidden="1" thickBot="1" x14ac:dyDescent="0.35">
      <c r="A1087" s="229"/>
      <c r="B1087" s="224"/>
      <c r="C1087" s="32"/>
      <c r="D1087" s="32"/>
      <c r="E1087" s="33"/>
      <c r="F1087" s="43" t="s">
        <v>560</v>
      </c>
      <c r="G1087" s="31" t="str">
        <f t="shared" si="17"/>
        <v/>
      </c>
      <c r="H1087" s="35"/>
      <c r="I1087" s="31"/>
      <c r="J1087" s="155">
        <v>0</v>
      </c>
    </row>
    <row r="1088" spans="1:10" ht="15" hidden="1" thickBot="1" x14ac:dyDescent="0.35">
      <c r="A1088" s="229"/>
      <c r="B1088" s="224"/>
      <c r="C1088" s="36" t="s">
        <v>372</v>
      </c>
      <c r="D1088" s="47" t="s">
        <v>292</v>
      </c>
      <c r="E1088" s="37">
        <v>1</v>
      </c>
      <c r="F1088" s="34">
        <v>56.142499999999998</v>
      </c>
      <c r="G1088" s="34">
        <f t="shared" si="17"/>
        <v>56.142499999999998</v>
      </c>
      <c r="H1088" s="39">
        <f>SUM(G1088:G1092)</f>
        <v>86.821274599999995</v>
      </c>
      <c r="I1088" s="40"/>
      <c r="J1088" s="155">
        <v>0</v>
      </c>
    </row>
    <row r="1089" spans="1:10" ht="27" hidden="1" thickBot="1" x14ac:dyDescent="0.35">
      <c r="A1089" s="229"/>
      <c r="B1089" s="224"/>
      <c r="C1089" s="36" t="s">
        <v>366</v>
      </c>
      <c r="D1089" s="47" t="s">
        <v>292</v>
      </c>
      <c r="E1089" s="37">
        <v>2</v>
      </c>
      <c r="F1089" s="34">
        <v>9.3584999999999994</v>
      </c>
      <c r="G1089" s="34">
        <f t="shared" si="17"/>
        <v>18.716999999999999</v>
      </c>
      <c r="H1089" s="35"/>
      <c r="I1089" s="31"/>
      <c r="J1089" s="155">
        <v>0</v>
      </c>
    </row>
    <row r="1090" spans="1:10" ht="15" hidden="1" thickBot="1" x14ac:dyDescent="0.35">
      <c r="A1090" s="229"/>
      <c r="B1090" s="224"/>
      <c r="C1090" s="36" t="s">
        <v>1935</v>
      </c>
      <c r="D1090" s="47" t="s">
        <v>42</v>
      </c>
      <c r="E1090" s="37">
        <v>3.04E-2</v>
      </c>
      <c r="F1090" s="34">
        <v>47.302499999999995</v>
      </c>
      <c r="G1090" s="34">
        <f t="shared" si="17"/>
        <v>1.4379959999999998</v>
      </c>
      <c r="H1090" s="35"/>
      <c r="I1090" s="31"/>
      <c r="J1090" s="155">
        <v>0</v>
      </c>
    </row>
    <row r="1091" spans="1:10" ht="15" hidden="1" thickBot="1" x14ac:dyDescent="0.35">
      <c r="A1091" s="229"/>
      <c r="B1091" s="224"/>
      <c r="C1091" s="36" t="s">
        <v>39</v>
      </c>
      <c r="D1091" s="47" t="s">
        <v>12</v>
      </c>
      <c r="E1091" s="37">
        <v>0.38700000000000001</v>
      </c>
      <c r="F1091" s="31">
        <v>19.898499999999999</v>
      </c>
      <c r="G1091" s="34">
        <f t="shared" si="17"/>
        <v>7.7007194999999999</v>
      </c>
      <c r="H1091" s="35"/>
      <c r="I1091" s="31"/>
      <c r="J1091" s="155">
        <v>0</v>
      </c>
    </row>
    <row r="1092" spans="1:10" ht="15" hidden="1" thickBot="1" x14ac:dyDescent="0.35">
      <c r="A1092" s="229"/>
      <c r="B1092" s="224"/>
      <c r="C1092" s="36" t="s">
        <v>23</v>
      </c>
      <c r="D1092" s="47" t="s">
        <v>12</v>
      </c>
      <c r="E1092" s="37">
        <v>0.18859999999999999</v>
      </c>
      <c r="F1092" s="31">
        <v>14.968499999999999</v>
      </c>
      <c r="G1092" s="34">
        <f t="shared" si="17"/>
        <v>2.8230590999999996</v>
      </c>
      <c r="H1092" s="35"/>
      <c r="I1092" s="31"/>
      <c r="J1092" s="155">
        <v>0</v>
      </c>
    </row>
    <row r="1093" spans="1:10" ht="15" hidden="1" thickBot="1" x14ac:dyDescent="0.35">
      <c r="A1093" s="230"/>
      <c r="B1093" s="225"/>
      <c r="C1093" s="36"/>
      <c r="D1093" s="36"/>
      <c r="E1093" s="37"/>
      <c r="F1093" s="31" t="s">
        <v>560</v>
      </c>
      <c r="G1093" s="31" t="str">
        <f t="shared" si="17"/>
        <v/>
      </c>
      <c r="H1093" s="35"/>
      <c r="I1093" s="31"/>
      <c r="J1093" s="155">
        <v>0</v>
      </c>
    </row>
    <row r="1094" spans="1:10" ht="15" hidden="1" thickBot="1" x14ac:dyDescent="0.35">
      <c r="A1094" s="226" t="s">
        <v>373</v>
      </c>
      <c r="B1094" s="223" t="e">
        <f>INDEX(#REF!,MATCH(Composições!A1094,#REF!,0),2)</f>
        <v>#REF!</v>
      </c>
      <c r="C1094" s="41"/>
      <c r="D1094" s="26" t="e">
        <f>TRIM(INDEX(#REF!,MATCH(Composições!A1094,#REF!,0),1))</f>
        <v>#REF!</v>
      </c>
      <c r="E1094" s="27"/>
      <c r="F1094" s="42" t="s">
        <v>560</v>
      </c>
      <c r="G1094" s="28" t="str">
        <f t="shared" si="17"/>
        <v/>
      </c>
      <c r="H1094" s="29"/>
      <c r="I1094" s="30"/>
      <c r="J1094" s="155">
        <v>0</v>
      </c>
    </row>
    <row r="1095" spans="1:10" ht="15" hidden="1" thickBot="1" x14ac:dyDescent="0.35">
      <c r="A1095" s="229"/>
      <c r="B1095" s="224"/>
      <c r="C1095" s="32"/>
      <c r="D1095" s="32"/>
      <c r="E1095" s="33"/>
      <c r="F1095" s="43" t="s">
        <v>560</v>
      </c>
      <c r="G1095" s="31" t="str">
        <f t="shared" si="17"/>
        <v/>
      </c>
      <c r="H1095" s="35"/>
      <c r="I1095" s="31"/>
      <c r="J1095" s="155">
        <v>0</v>
      </c>
    </row>
    <row r="1096" spans="1:10" ht="15" hidden="1" thickBot="1" x14ac:dyDescent="0.35">
      <c r="A1096" s="229"/>
      <c r="B1096" s="224"/>
      <c r="C1096" s="36" t="s">
        <v>374</v>
      </c>
      <c r="D1096" s="47" t="s">
        <v>292</v>
      </c>
      <c r="E1096" s="37">
        <v>1</v>
      </c>
      <c r="F1096" s="34">
        <v>215.917</v>
      </c>
      <c r="G1096" s="34">
        <f t="shared" si="17"/>
        <v>215.917</v>
      </c>
      <c r="H1096" s="39">
        <f>SUM(G1096:G1100)</f>
        <v>247.19433524999999</v>
      </c>
      <c r="I1096" s="40"/>
      <c r="J1096" s="155">
        <v>0</v>
      </c>
    </row>
    <row r="1097" spans="1:10" ht="27" hidden="1" thickBot="1" x14ac:dyDescent="0.35">
      <c r="A1097" s="229"/>
      <c r="B1097" s="224"/>
      <c r="C1097" s="36" t="s">
        <v>366</v>
      </c>
      <c r="D1097" s="47" t="s">
        <v>292</v>
      </c>
      <c r="E1097" s="37">
        <v>2</v>
      </c>
      <c r="F1097" s="34">
        <v>9.3584999999999994</v>
      </c>
      <c r="G1097" s="31">
        <f t="shared" si="17"/>
        <v>18.716999999999999</v>
      </c>
      <c r="H1097" s="35"/>
      <c r="I1097" s="31"/>
      <c r="J1097" s="155">
        <v>0</v>
      </c>
    </row>
    <row r="1098" spans="1:10" ht="15" hidden="1" thickBot="1" x14ac:dyDescent="0.35">
      <c r="A1098" s="229"/>
      <c r="B1098" s="224"/>
      <c r="C1098" s="36" t="s">
        <v>368</v>
      </c>
      <c r="D1098" s="47" t="s">
        <v>292</v>
      </c>
      <c r="E1098" s="37">
        <f>0.076-0.0175-0.013</f>
        <v>4.5499999999999999E-2</v>
      </c>
      <c r="F1098" s="34">
        <v>3.1110000000000002</v>
      </c>
      <c r="G1098" s="31">
        <f t="shared" si="17"/>
        <v>0.1415505</v>
      </c>
      <c r="H1098" s="35"/>
      <c r="I1098" s="31"/>
      <c r="J1098" s="155">
        <v>0</v>
      </c>
    </row>
    <row r="1099" spans="1:10" ht="15" hidden="1" thickBot="1" x14ac:dyDescent="0.35">
      <c r="A1099" s="229"/>
      <c r="B1099" s="224"/>
      <c r="C1099" s="36" t="s">
        <v>23</v>
      </c>
      <c r="D1099" s="47" t="s">
        <v>12</v>
      </c>
      <c r="E1099" s="37">
        <f>ROUND(0.3179/2,4)</f>
        <v>0.159</v>
      </c>
      <c r="F1099" s="31">
        <v>14.968499999999999</v>
      </c>
      <c r="G1099" s="34">
        <f t="shared" si="17"/>
        <v>2.3799915</v>
      </c>
      <c r="H1099" s="35"/>
      <c r="I1099" s="31"/>
      <c r="J1099" s="155">
        <v>0</v>
      </c>
    </row>
    <row r="1100" spans="1:10" ht="15" hidden="1" thickBot="1" x14ac:dyDescent="0.35">
      <c r="A1100" s="229"/>
      <c r="B1100" s="224"/>
      <c r="C1100" s="36" t="s">
        <v>39</v>
      </c>
      <c r="D1100" s="47" t="s">
        <v>12</v>
      </c>
      <c r="E1100" s="37">
        <f>1.009/2</f>
        <v>0.50449999999999995</v>
      </c>
      <c r="F1100" s="31">
        <v>19.898499999999999</v>
      </c>
      <c r="G1100" s="34">
        <f t="shared" si="17"/>
        <v>10.038793249999998</v>
      </c>
      <c r="H1100" s="35"/>
      <c r="I1100" s="31"/>
      <c r="J1100" s="155">
        <v>0</v>
      </c>
    </row>
    <row r="1101" spans="1:10" ht="15" hidden="1" thickBot="1" x14ac:dyDescent="0.35">
      <c r="A1101" s="229"/>
      <c r="B1101" s="224"/>
      <c r="C1101" s="36"/>
      <c r="D1101" s="47"/>
      <c r="E1101" s="37"/>
      <c r="F1101" s="34" t="s">
        <v>560</v>
      </c>
      <c r="G1101" s="34" t="str">
        <f t="shared" si="17"/>
        <v/>
      </c>
      <c r="H1101" s="35"/>
      <c r="I1101" s="31"/>
      <c r="J1101" s="155">
        <v>0</v>
      </c>
    </row>
    <row r="1102" spans="1:10" ht="27" hidden="1" thickBot="1" x14ac:dyDescent="0.35">
      <c r="A1102" s="229"/>
      <c r="B1102" s="224"/>
      <c r="C1102" s="52" t="s">
        <v>369</v>
      </c>
      <c r="D1102" s="47"/>
      <c r="E1102" s="37"/>
      <c r="F1102" s="34" t="s">
        <v>560</v>
      </c>
      <c r="G1102" s="34" t="str">
        <f t="shared" si="17"/>
        <v/>
      </c>
      <c r="H1102" s="35"/>
      <c r="I1102" s="31"/>
      <c r="J1102" s="155">
        <v>0</v>
      </c>
    </row>
    <row r="1103" spans="1:10" ht="15" hidden="1" thickBot="1" x14ac:dyDescent="0.35">
      <c r="A1103" s="229"/>
      <c r="B1103" s="224"/>
      <c r="C1103" s="36"/>
      <c r="D1103" s="47"/>
      <c r="E1103" s="37"/>
      <c r="F1103" s="34" t="s">
        <v>560</v>
      </c>
      <c r="G1103" s="34" t="str">
        <f t="shared" si="17"/>
        <v/>
      </c>
      <c r="H1103" s="35"/>
      <c r="I1103" s="31"/>
      <c r="J1103" s="155">
        <v>0</v>
      </c>
    </row>
    <row r="1104" spans="1:10" ht="15" hidden="1" thickBot="1" x14ac:dyDescent="0.35">
      <c r="A1104" s="226" t="s">
        <v>375</v>
      </c>
      <c r="B1104" s="223" t="e">
        <f>INDEX(#REF!,MATCH(Composições!A1104,#REF!,0),2)</f>
        <v>#REF!</v>
      </c>
      <c r="C1104" s="41"/>
      <c r="D1104" s="26" t="e">
        <f>TRIM(INDEX(#REF!,MATCH(Composições!A1104,#REF!,0),1))</f>
        <v>#REF!</v>
      </c>
      <c r="E1104" s="27"/>
      <c r="F1104" s="42" t="s">
        <v>560</v>
      </c>
      <c r="G1104" s="28" t="str">
        <f t="shared" si="17"/>
        <v/>
      </c>
      <c r="H1104" s="29"/>
      <c r="I1104" s="30"/>
      <c r="J1104" s="155">
        <v>0</v>
      </c>
    </row>
    <row r="1105" spans="1:10" ht="15" hidden="1" thickBot="1" x14ac:dyDescent="0.35">
      <c r="A1105" s="229"/>
      <c r="B1105" s="224"/>
      <c r="C1105" s="32"/>
      <c r="D1105" s="32"/>
      <c r="E1105" s="33"/>
      <c r="F1105" s="43" t="s">
        <v>560</v>
      </c>
      <c r="G1105" s="31" t="str">
        <f t="shared" si="17"/>
        <v/>
      </c>
      <c r="H1105" s="35"/>
      <c r="I1105" s="31"/>
      <c r="J1105" s="155">
        <v>0</v>
      </c>
    </row>
    <row r="1106" spans="1:10" ht="27" hidden="1" thickBot="1" x14ac:dyDescent="0.35">
      <c r="A1106" s="229"/>
      <c r="B1106" s="224"/>
      <c r="C1106" s="36" t="s">
        <v>376</v>
      </c>
      <c r="D1106" s="47" t="s">
        <v>147</v>
      </c>
      <c r="E1106" s="37">
        <v>1</v>
      </c>
      <c r="F1106" s="34" t="s">
        <v>560</v>
      </c>
      <c r="G1106" s="34" t="str">
        <f t="shared" ref="G1106:G1169" si="18">IF(ISNUMBER(F1106),E1106*F1106,"")</f>
        <v/>
      </c>
      <c r="H1106" s="39">
        <f>SUM(G1106:G1110)</f>
        <v>60.805448699999992</v>
      </c>
      <c r="I1106" s="40"/>
      <c r="J1106" s="155">
        <v>0</v>
      </c>
    </row>
    <row r="1107" spans="1:10" ht="27" hidden="1" thickBot="1" x14ac:dyDescent="0.35">
      <c r="A1107" s="229"/>
      <c r="B1107" s="224"/>
      <c r="C1107" s="36" t="s">
        <v>366</v>
      </c>
      <c r="D1107" s="47" t="s">
        <v>292</v>
      </c>
      <c r="E1107" s="37">
        <v>4</v>
      </c>
      <c r="F1107" s="34">
        <v>9.3584999999999994</v>
      </c>
      <c r="G1107" s="34">
        <f t="shared" si="18"/>
        <v>37.433999999999997</v>
      </c>
      <c r="H1107" s="35"/>
      <c r="I1107" s="31"/>
      <c r="J1107" s="155">
        <v>0</v>
      </c>
    </row>
    <row r="1108" spans="1:10" ht="15" hidden="1" thickBot="1" x14ac:dyDescent="0.35">
      <c r="A1108" s="229"/>
      <c r="B1108" s="224"/>
      <c r="C1108" s="36" t="s">
        <v>1935</v>
      </c>
      <c r="D1108" s="47" t="s">
        <v>42</v>
      </c>
      <c r="E1108" s="37">
        <v>3.9E-2</v>
      </c>
      <c r="F1108" s="34">
        <v>47.302499999999995</v>
      </c>
      <c r="G1108" s="34">
        <f t="shared" si="18"/>
        <v>1.8447974999999999</v>
      </c>
      <c r="H1108" s="35"/>
      <c r="I1108" s="31"/>
      <c r="J1108" s="155">
        <v>0</v>
      </c>
    </row>
    <row r="1109" spans="1:10" ht="15" hidden="1" thickBot="1" x14ac:dyDescent="0.35">
      <c r="A1109" s="229"/>
      <c r="B1109" s="224"/>
      <c r="C1109" s="36" t="s">
        <v>39</v>
      </c>
      <c r="D1109" s="47" t="s">
        <v>12</v>
      </c>
      <c r="E1109" s="37">
        <v>0.8226</v>
      </c>
      <c r="F1109" s="31">
        <v>19.898499999999999</v>
      </c>
      <c r="G1109" s="34">
        <f t="shared" si="18"/>
        <v>16.368506099999998</v>
      </c>
      <c r="H1109" s="35"/>
      <c r="I1109" s="31"/>
      <c r="J1109" s="155">
        <v>0</v>
      </c>
    </row>
    <row r="1110" spans="1:10" ht="15" hidden="1" thickBot="1" x14ac:dyDescent="0.35">
      <c r="A1110" s="229"/>
      <c r="B1110" s="224"/>
      <c r="C1110" s="36" t="s">
        <v>23</v>
      </c>
      <c r="D1110" s="47" t="s">
        <v>12</v>
      </c>
      <c r="E1110" s="37">
        <v>0.34460000000000002</v>
      </c>
      <c r="F1110" s="31">
        <v>14.968499999999999</v>
      </c>
      <c r="G1110" s="34">
        <f t="shared" si="18"/>
        <v>5.1581450999999996</v>
      </c>
      <c r="H1110" s="35"/>
      <c r="I1110" s="31"/>
      <c r="J1110" s="155">
        <v>0</v>
      </c>
    </row>
    <row r="1111" spans="1:10" ht="15" hidden="1" thickBot="1" x14ac:dyDescent="0.35">
      <c r="A1111" s="230"/>
      <c r="B1111" s="225"/>
      <c r="C1111" s="36"/>
      <c r="D1111" s="36"/>
      <c r="E1111" s="37"/>
      <c r="F1111" s="31" t="s">
        <v>560</v>
      </c>
      <c r="G1111" s="31" t="str">
        <f t="shared" si="18"/>
        <v/>
      </c>
      <c r="H1111" s="35"/>
      <c r="I1111" s="31"/>
      <c r="J1111" s="155">
        <v>0</v>
      </c>
    </row>
    <row r="1112" spans="1:10" ht="15" hidden="1" thickBot="1" x14ac:dyDescent="0.35">
      <c r="A1112" s="226" t="s">
        <v>377</v>
      </c>
      <c r="B1112" s="223" t="e">
        <f>INDEX(#REF!,MATCH(Composições!A1112,#REF!,0),2)</f>
        <v>#REF!</v>
      </c>
      <c r="C1112" s="41"/>
      <c r="D1112" s="26" t="e">
        <f>TRIM(INDEX(#REF!,MATCH(Composições!A1112,#REF!,0),1))</f>
        <v>#REF!</v>
      </c>
      <c r="E1112" s="27"/>
      <c r="F1112" s="42" t="s">
        <v>560</v>
      </c>
      <c r="G1112" s="28" t="str">
        <f t="shared" si="18"/>
        <v/>
      </c>
      <c r="H1112" s="29"/>
      <c r="I1112" s="30"/>
      <c r="J1112" s="155">
        <v>0</v>
      </c>
    </row>
    <row r="1113" spans="1:10" ht="15" hidden="1" thickBot="1" x14ac:dyDescent="0.35">
      <c r="A1113" s="229"/>
      <c r="B1113" s="224"/>
      <c r="C1113" s="32"/>
      <c r="D1113" s="32"/>
      <c r="E1113" s="33"/>
      <c r="F1113" s="43" t="s">
        <v>560</v>
      </c>
      <c r="G1113" s="31" t="str">
        <f t="shared" si="18"/>
        <v/>
      </c>
      <c r="H1113" s="35"/>
      <c r="I1113" s="31"/>
      <c r="J1113" s="155">
        <v>0</v>
      </c>
    </row>
    <row r="1114" spans="1:10" ht="27" hidden="1" thickBot="1" x14ac:dyDescent="0.35">
      <c r="A1114" s="229"/>
      <c r="B1114" s="224"/>
      <c r="C1114" s="36" t="s">
        <v>378</v>
      </c>
      <c r="D1114" s="47" t="s">
        <v>147</v>
      </c>
      <c r="E1114" s="37">
        <v>1</v>
      </c>
      <c r="F1114" s="34" t="s">
        <v>560</v>
      </c>
      <c r="G1114" s="34" t="str">
        <f t="shared" si="18"/>
        <v/>
      </c>
      <c r="H1114" s="39">
        <f>SUM(G1114:G1115)</f>
        <v>1.59188</v>
      </c>
      <c r="I1114" s="40"/>
      <c r="J1114" s="155">
        <v>0</v>
      </c>
    </row>
    <row r="1115" spans="1:10" ht="15" hidden="1" thickBot="1" x14ac:dyDescent="0.35">
      <c r="A1115" s="229"/>
      <c r="B1115" s="224"/>
      <c r="C1115" s="36" t="s">
        <v>39</v>
      </c>
      <c r="D1115" s="47" t="s">
        <v>12</v>
      </c>
      <c r="E1115" s="37">
        <v>0.08</v>
      </c>
      <c r="F1115" s="31">
        <v>19.898499999999999</v>
      </c>
      <c r="G1115" s="34">
        <f t="shared" si="18"/>
        <v>1.59188</v>
      </c>
      <c r="H1115" s="35"/>
      <c r="I1115" s="31"/>
      <c r="J1115" s="155">
        <v>0</v>
      </c>
    </row>
    <row r="1116" spans="1:10" ht="15" hidden="1" thickBot="1" x14ac:dyDescent="0.35">
      <c r="A1116" s="230"/>
      <c r="B1116" s="225"/>
      <c r="C1116" s="52"/>
      <c r="D1116" s="36"/>
      <c r="E1116" s="37"/>
      <c r="F1116" s="31" t="s">
        <v>560</v>
      </c>
      <c r="G1116" s="31" t="str">
        <f t="shared" si="18"/>
        <v/>
      </c>
      <c r="H1116" s="35"/>
      <c r="I1116" s="31"/>
      <c r="J1116" s="155">
        <v>0</v>
      </c>
    </row>
    <row r="1117" spans="1:10" ht="15" hidden="1" thickBot="1" x14ac:dyDescent="0.35">
      <c r="A1117" s="226" t="s">
        <v>379</v>
      </c>
      <c r="B1117" s="223" t="e">
        <f>INDEX(#REF!,MATCH(Composições!A1117,#REF!,0),2)</f>
        <v>#REF!</v>
      </c>
      <c r="C1117" s="41"/>
      <c r="D1117" s="26" t="e">
        <f>TRIM(INDEX(#REF!,MATCH(Composições!A1117,#REF!,0),1))</f>
        <v>#REF!</v>
      </c>
      <c r="E1117" s="27"/>
      <c r="F1117" s="42" t="s">
        <v>560</v>
      </c>
      <c r="G1117" s="28" t="str">
        <f t="shared" si="18"/>
        <v/>
      </c>
      <c r="H1117" s="29"/>
      <c r="I1117" s="30"/>
      <c r="J1117" s="155">
        <v>0</v>
      </c>
    </row>
    <row r="1118" spans="1:10" ht="15" hidden="1" thickBot="1" x14ac:dyDescent="0.35">
      <c r="A1118" s="229"/>
      <c r="B1118" s="224"/>
      <c r="C1118" s="32"/>
      <c r="D1118" s="32"/>
      <c r="E1118" s="33"/>
      <c r="F1118" s="43" t="s">
        <v>560</v>
      </c>
      <c r="G1118" s="31" t="str">
        <f t="shared" si="18"/>
        <v/>
      </c>
      <c r="H1118" s="35"/>
      <c r="I1118" s="31"/>
      <c r="J1118" s="155">
        <v>0</v>
      </c>
    </row>
    <row r="1119" spans="1:10" ht="27" hidden="1" thickBot="1" x14ac:dyDescent="0.35">
      <c r="A1119" s="229"/>
      <c r="B1119" s="224"/>
      <c r="C1119" s="36" t="s">
        <v>380</v>
      </c>
      <c r="D1119" s="47" t="s">
        <v>147</v>
      </c>
      <c r="E1119" s="37">
        <v>1</v>
      </c>
      <c r="F1119" s="34" t="s">
        <v>560</v>
      </c>
      <c r="G1119" s="34" t="str">
        <f t="shared" si="18"/>
        <v/>
      </c>
      <c r="H1119" s="39">
        <f>SUM(G1119:G1120)</f>
        <v>1.59188</v>
      </c>
      <c r="I1119" s="40"/>
      <c r="J1119" s="155">
        <v>0</v>
      </c>
    </row>
    <row r="1120" spans="1:10" ht="15" hidden="1" thickBot="1" x14ac:dyDescent="0.35">
      <c r="A1120" s="229"/>
      <c r="B1120" s="224"/>
      <c r="C1120" s="36" t="s">
        <v>39</v>
      </c>
      <c r="D1120" s="47" t="s">
        <v>12</v>
      </c>
      <c r="E1120" s="37">
        <v>0.08</v>
      </c>
      <c r="F1120" s="31">
        <v>19.898499999999999</v>
      </c>
      <c r="G1120" s="34">
        <f t="shared" si="18"/>
        <v>1.59188</v>
      </c>
      <c r="H1120" s="35"/>
      <c r="I1120" s="31"/>
      <c r="J1120" s="155">
        <v>0</v>
      </c>
    </row>
    <row r="1121" spans="1:10" ht="15" hidden="1" thickBot="1" x14ac:dyDescent="0.35">
      <c r="A1121" s="230"/>
      <c r="B1121" s="225"/>
      <c r="C1121" s="36"/>
      <c r="D1121" s="36"/>
      <c r="E1121" s="37"/>
      <c r="F1121" s="31" t="s">
        <v>560</v>
      </c>
      <c r="G1121" s="31" t="str">
        <f t="shared" si="18"/>
        <v/>
      </c>
      <c r="H1121" s="35"/>
      <c r="I1121" s="31"/>
      <c r="J1121" s="155">
        <v>0</v>
      </c>
    </row>
    <row r="1122" spans="1:10" ht="15" hidden="1" thickBot="1" x14ac:dyDescent="0.35">
      <c r="A1122" s="226" t="s">
        <v>381</v>
      </c>
      <c r="B1122" s="223" t="e">
        <f>INDEX(#REF!,MATCH(Composições!A1122,#REF!,0),2)</f>
        <v>#REF!</v>
      </c>
      <c r="C1122" s="41"/>
      <c r="D1122" s="26" t="e">
        <f>TRIM(INDEX(#REF!,MATCH(Composições!A1122,#REF!,0),1))</f>
        <v>#REF!</v>
      </c>
      <c r="E1122" s="27"/>
      <c r="F1122" s="42" t="s">
        <v>560</v>
      </c>
      <c r="G1122" s="28" t="str">
        <f t="shared" si="18"/>
        <v/>
      </c>
      <c r="H1122" s="29"/>
      <c r="I1122" s="30"/>
      <c r="J1122" s="155">
        <v>0</v>
      </c>
    </row>
    <row r="1123" spans="1:10" ht="15" hidden="1" thickBot="1" x14ac:dyDescent="0.35">
      <c r="A1123" s="229"/>
      <c r="B1123" s="224"/>
      <c r="C1123" s="32"/>
      <c r="D1123" s="32"/>
      <c r="E1123" s="33"/>
      <c r="F1123" s="43" t="s">
        <v>560</v>
      </c>
      <c r="G1123" s="31" t="str">
        <f t="shared" si="18"/>
        <v/>
      </c>
      <c r="H1123" s="35"/>
      <c r="I1123" s="31"/>
      <c r="J1123" s="155">
        <v>0</v>
      </c>
    </row>
    <row r="1124" spans="1:10" ht="27" hidden="1" thickBot="1" x14ac:dyDescent="0.35">
      <c r="A1124" s="229"/>
      <c r="B1124" s="224"/>
      <c r="C1124" s="36" t="s">
        <v>382</v>
      </c>
      <c r="D1124" s="47" t="s">
        <v>147</v>
      </c>
      <c r="E1124" s="37">
        <v>1</v>
      </c>
      <c r="F1124" s="34" t="s">
        <v>560</v>
      </c>
      <c r="G1124" s="34" t="str">
        <f t="shared" si="18"/>
        <v/>
      </c>
      <c r="H1124" s="39">
        <f>SUM(G1124:G1126)</f>
        <v>17.696999999999999</v>
      </c>
      <c r="I1124" s="40"/>
      <c r="J1124" s="155">
        <v>0</v>
      </c>
    </row>
    <row r="1125" spans="1:10" ht="15" hidden="1" thickBot="1" x14ac:dyDescent="0.35">
      <c r="A1125" s="229"/>
      <c r="B1125" s="224"/>
      <c r="C1125" s="36" t="s">
        <v>39</v>
      </c>
      <c r="D1125" s="47" t="s">
        <v>12</v>
      </c>
      <c r="E1125" s="37">
        <v>0.5</v>
      </c>
      <c r="F1125" s="31">
        <v>19.898499999999999</v>
      </c>
      <c r="G1125" s="34">
        <f t="shared" si="18"/>
        <v>9.9492499999999993</v>
      </c>
      <c r="H1125" s="35"/>
      <c r="I1125" s="31"/>
      <c r="J1125" s="155">
        <v>0</v>
      </c>
    </row>
    <row r="1126" spans="1:10" ht="15" hidden="1" thickBot="1" x14ac:dyDescent="0.35">
      <c r="A1126" s="229"/>
      <c r="B1126" s="224"/>
      <c r="C1126" s="36" t="s">
        <v>108</v>
      </c>
      <c r="D1126" s="47" t="s">
        <v>12</v>
      </c>
      <c r="E1126" s="37">
        <v>0.5</v>
      </c>
      <c r="F1126" s="31">
        <v>15.4955</v>
      </c>
      <c r="G1126" s="34">
        <f t="shared" si="18"/>
        <v>7.7477499999999999</v>
      </c>
      <c r="H1126" s="35"/>
      <c r="I1126" s="31"/>
      <c r="J1126" s="155">
        <v>0</v>
      </c>
    </row>
    <row r="1127" spans="1:10" ht="15" hidden="1" thickBot="1" x14ac:dyDescent="0.35">
      <c r="A1127" s="230"/>
      <c r="B1127" s="225"/>
      <c r="C1127" s="36"/>
      <c r="D1127" s="36"/>
      <c r="E1127" s="37"/>
      <c r="F1127" s="31" t="s">
        <v>560</v>
      </c>
      <c r="G1127" s="31" t="str">
        <f t="shared" si="18"/>
        <v/>
      </c>
      <c r="H1127" s="35"/>
      <c r="I1127" s="31"/>
      <c r="J1127" s="155">
        <v>0</v>
      </c>
    </row>
    <row r="1128" spans="1:10" ht="15" hidden="1" thickBot="1" x14ac:dyDescent="0.35">
      <c r="A1128" s="226" t="s">
        <v>383</v>
      </c>
      <c r="B1128" s="223" t="e">
        <f>INDEX(#REF!,MATCH(Composições!A1128,#REF!,0),2)</f>
        <v>#REF!</v>
      </c>
      <c r="C1128" s="41"/>
      <c r="D1128" s="26" t="e">
        <f>TRIM(INDEX(#REF!,MATCH(Composições!A1128,#REF!,0),1))</f>
        <v>#REF!</v>
      </c>
      <c r="E1128" s="27"/>
      <c r="F1128" s="42" t="s">
        <v>560</v>
      </c>
      <c r="G1128" s="28" t="str">
        <f t="shared" si="18"/>
        <v/>
      </c>
      <c r="H1128" s="29"/>
      <c r="I1128" s="30"/>
      <c r="J1128" s="155">
        <v>0</v>
      </c>
    </row>
    <row r="1129" spans="1:10" ht="15" hidden="1" thickBot="1" x14ac:dyDescent="0.35">
      <c r="A1129" s="229"/>
      <c r="B1129" s="224"/>
      <c r="C1129" s="32"/>
      <c r="D1129" s="32"/>
      <c r="E1129" s="33"/>
      <c r="F1129" s="43" t="s">
        <v>560</v>
      </c>
      <c r="G1129" s="31" t="str">
        <f t="shared" si="18"/>
        <v/>
      </c>
      <c r="H1129" s="35"/>
      <c r="I1129" s="31"/>
      <c r="J1129" s="155">
        <v>0</v>
      </c>
    </row>
    <row r="1130" spans="1:10" ht="15" hidden="1" thickBot="1" x14ac:dyDescent="0.35">
      <c r="A1130" s="229"/>
      <c r="B1130" s="224"/>
      <c r="C1130" s="36" t="s">
        <v>39</v>
      </c>
      <c r="D1130" s="47" t="s">
        <v>12</v>
      </c>
      <c r="E1130" s="37">
        <v>0.16209999999999999</v>
      </c>
      <c r="F1130" s="31">
        <v>19.898499999999999</v>
      </c>
      <c r="G1130" s="34">
        <f t="shared" si="18"/>
        <v>3.2255468499999997</v>
      </c>
      <c r="H1130" s="39">
        <f>SUM(G1130:G1131)</f>
        <v>3.5772946999999999</v>
      </c>
      <c r="I1130" s="40"/>
      <c r="J1130" s="155">
        <v>0</v>
      </c>
    </row>
    <row r="1131" spans="1:10" ht="15" hidden="1" thickBot="1" x14ac:dyDescent="0.35">
      <c r="A1131" s="229"/>
      <c r="B1131" s="224"/>
      <c r="C1131" s="36" t="s">
        <v>108</v>
      </c>
      <c r="D1131" s="47" t="s">
        <v>12</v>
      </c>
      <c r="E1131" s="37">
        <v>2.2700000000000001E-2</v>
      </c>
      <c r="F1131" s="31">
        <v>15.4955</v>
      </c>
      <c r="G1131" s="34">
        <f t="shared" si="18"/>
        <v>0.35174785000000003</v>
      </c>
      <c r="H1131" s="45"/>
      <c r="I1131" s="46"/>
      <c r="J1131" s="155">
        <v>0</v>
      </c>
    </row>
    <row r="1132" spans="1:10" ht="15" hidden="1" thickBot="1" x14ac:dyDescent="0.35">
      <c r="A1132" s="230"/>
      <c r="B1132" s="225"/>
      <c r="C1132" s="36"/>
      <c r="D1132" s="36"/>
      <c r="E1132" s="37"/>
      <c r="F1132" s="31" t="s">
        <v>560</v>
      </c>
      <c r="G1132" s="31" t="str">
        <f t="shared" si="18"/>
        <v/>
      </c>
      <c r="H1132" s="35"/>
      <c r="I1132" s="31"/>
      <c r="J1132" s="155">
        <v>0</v>
      </c>
    </row>
    <row r="1133" spans="1:10" ht="15" hidden="1" thickBot="1" x14ac:dyDescent="0.35">
      <c r="A1133" s="226" t="s">
        <v>384</v>
      </c>
      <c r="B1133" s="223" t="e">
        <f>INDEX(#REF!,MATCH(Composições!A1133,#REF!,0),2)</f>
        <v>#REF!</v>
      </c>
      <c r="C1133" s="41"/>
      <c r="D1133" s="26" t="e">
        <f>TRIM(INDEX(#REF!,MATCH(Composições!A1133,#REF!,0),1))</f>
        <v>#REF!</v>
      </c>
      <c r="E1133" s="27"/>
      <c r="F1133" s="42" t="s">
        <v>560</v>
      </c>
      <c r="G1133" s="28" t="str">
        <f t="shared" si="18"/>
        <v/>
      </c>
      <c r="H1133" s="29"/>
      <c r="I1133" s="30"/>
      <c r="J1133" s="155">
        <v>0</v>
      </c>
    </row>
    <row r="1134" spans="1:10" ht="15" hidden="1" thickBot="1" x14ac:dyDescent="0.35">
      <c r="A1134" s="229"/>
      <c r="B1134" s="224"/>
      <c r="C1134" s="32"/>
      <c r="D1134" s="32"/>
      <c r="E1134" s="33"/>
      <c r="F1134" s="43" t="s">
        <v>560</v>
      </c>
      <c r="G1134" s="31" t="str">
        <f t="shared" si="18"/>
        <v/>
      </c>
      <c r="H1134" s="35"/>
      <c r="I1134" s="31"/>
      <c r="J1134" s="155">
        <v>0</v>
      </c>
    </row>
    <row r="1135" spans="1:10" ht="15" hidden="1" thickBot="1" x14ac:dyDescent="0.35">
      <c r="A1135" s="229"/>
      <c r="B1135" s="224"/>
      <c r="C1135" s="36" t="s">
        <v>385</v>
      </c>
      <c r="D1135" s="47" t="s">
        <v>292</v>
      </c>
      <c r="E1135" s="37">
        <v>1</v>
      </c>
      <c r="F1135" s="34">
        <v>27.607999999999997</v>
      </c>
      <c r="G1135" s="34">
        <f t="shared" si="18"/>
        <v>27.607999999999997</v>
      </c>
      <c r="H1135" s="39">
        <f>SUM(G1135:G1138)</f>
        <v>31.395642499999997</v>
      </c>
      <c r="I1135" s="40"/>
      <c r="J1135" s="155">
        <v>0</v>
      </c>
    </row>
    <row r="1136" spans="1:10" ht="15" hidden="1" thickBot="1" x14ac:dyDescent="0.35">
      <c r="A1136" s="229"/>
      <c r="B1136" s="224"/>
      <c r="C1136" s="36" t="s">
        <v>368</v>
      </c>
      <c r="D1136" s="47" t="s">
        <v>292</v>
      </c>
      <c r="E1136" s="37">
        <v>1.7500000000000002E-2</v>
      </c>
      <c r="F1136" s="34">
        <v>3.1110000000000002</v>
      </c>
      <c r="G1136" s="34">
        <f t="shared" si="18"/>
        <v>5.4442500000000012E-2</v>
      </c>
      <c r="H1136" s="35"/>
      <c r="I1136" s="31"/>
      <c r="J1136" s="155">
        <v>0</v>
      </c>
    </row>
    <row r="1137" spans="1:10" ht="15" hidden="1" thickBot="1" x14ac:dyDescent="0.35">
      <c r="A1137" s="229"/>
      <c r="B1137" s="224"/>
      <c r="C1137" s="36" t="s">
        <v>39</v>
      </c>
      <c r="D1137" s="47" t="s">
        <v>12</v>
      </c>
      <c r="E1137" s="37">
        <v>0.15</v>
      </c>
      <c r="F1137" s="31">
        <v>19.898499999999999</v>
      </c>
      <c r="G1137" s="34">
        <f t="shared" si="18"/>
        <v>2.9847749999999995</v>
      </c>
      <c r="H1137" s="35"/>
      <c r="I1137" s="31"/>
      <c r="J1137" s="155">
        <v>0</v>
      </c>
    </row>
    <row r="1138" spans="1:10" ht="15" hidden="1" thickBot="1" x14ac:dyDescent="0.35">
      <c r="A1138" s="229"/>
      <c r="B1138" s="224"/>
      <c r="C1138" s="36" t="s">
        <v>23</v>
      </c>
      <c r="D1138" s="47" t="s">
        <v>12</v>
      </c>
      <c r="E1138" s="37">
        <v>0.05</v>
      </c>
      <c r="F1138" s="31">
        <v>14.968499999999999</v>
      </c>
      <c r="G1138" s="34">
        <f t="shared" si="18"/>
        <v>0.74842500000000001</v>
      </c>
      <c r="H1138" s="35"/>
      <c r="I1138" s="31"/>
      <c r="J1138" s="155">
        <v>0</v>
      </c>
    </row>
    <row r="1139" spans="1:10" ht="15" hidden="1" thickBot="1" x14ac:dyDescent="0.35">
      <c r="A1139" s="230"/>
      <c r="B1139" s="225"/>
      <c r="C1139" s="36"/>
      <c r="D1139" s="36"/>
      <c r="E1139" s="37"/>
      <c r="F1139" s="31" t="s">
        <v>560</v>
      </c>
      <c r="G1139" s="31" t="str">
        <f t="shared" si="18"/>
        <v/>
      </c>
      <c r="H1139" s="35"/>
      <c r="I1139" s="31"/>
      <c r="J1139" s="155">
        <v>0</v>
      </c>
    </row>
    <row r="1140" spans="1:10" ht="15" hidden="1" thickBot="1" x14ac:dyDescent="0.35">
      <c r="A1140" s="226" t="s">
        <v>386</v>
      </c>
      <c r="B1140" s="223" t="e">
        <f>INDEX(#REF!,MATCH(Composições!A1140,#REF!,0),2)</f>
        <v>#REF!</v>
      </c>
      <c r="C1140" s="41"/>
      <c r="D1140" s="26" t="e">
        <f>TRIM(INDEX(#REF!,MATCH(Composições!A1140,#REF!,0),1))</f>
        <v>#REF!</v>
      </c>
      <c r="E1140" s="27"/>
      <c r="F1140" s="42" t="s">
        <v>560</v>
      </c>
      <c r="G1140" s="28" t="str">
        <f t="shared" si="18"/>
        <v/>
      </c>
      <c r="H1140" s="29"/>
      <c r="I1140" s="30"/>
      <c r="J1140" s="155">
        <v>0</v>
      </c>
    </row>
    <row r="1141" spans="1:10" ht="15" hidden="1" thickBot="1" x14ac:dyDescent="0.35">
      <c r="A1141" s="229"/>
      <c r="B1141" s="224"/>
      <c r="C1141" s="32"/>
      <c r="D1141" s="32"/>
      <c r="E1141" s="33"/>
      <c r="F1141" s="43" t="s">
        <v>560</v>
      </c>
      <c r="G1141" s="31" t="str">
        <f t="shared" si="18"/>
        <v/>
      </c>
      <c r="H1141" s="35"/>
      <c r="I1141" s="31"/>
      <c r="J1141" s="155">
        <v>0</v>
      </c>
    </row>
    <row r="1142" spans="1:10" ht="27" hidden="1" thickBot="1" x14ac:dyDescent="0.35">
      <c r="A1142" s="229"/>
      <c r="B1142" s="224"/>
      <c r="C1142" s="36" t="s">
        <v>387</v>
      </c>
      <c r="D1142" s="47" t="s">
        <v>147</v>
      </c>
      <c r="E1142" s="37">
        <v>1</v>
      </c>
      <c r="F1142" s="34" t="s">
        <v>560</v>
      </c>
      <c r="G1142" s="34" t="str">
        <f t="shared" si="18"/>
        <v/>
      </c>
      <c r="H1142" s="39">
        <f>SUM(G1142:G1145)</f>
        <v>6.8338197999999997</v>
      </c>
      <c r="I1142" s="40"/>
      <c r="J1142" s="155">
        <v>0</v>
      </c>
    </row>
    <row r="1143" spans="1:10" ht="15" hidden="1" thickBot="1" x14ac:dyDescent="0.35">
      <c r="A1143" s="229"/>
      <c r="B1143" s="224"/>
      <c r="C1143" s="36" t="s">
        <v>368</v>
      </c>
      <c r="D1143" s="47" t="s">
        <v>292</v>
      </c>
      <c r="E1143" s="37">
        <v>3.32E-2</v>
      </c>
      <c r="F1143" s="34">
        <v>3.1110000000000002</v>
      </c>
      <c r="G1143" s="34">
        <f t="shared" si="18"/>
        <v>0.10328520000000001</v>
      </c>
      <c r="H1143" s="35"/>
      <c r="I1143" s="31"/>
      <c r="J1143" s="155">
        <v>0</v>
      </c>
    </row>
    <row r="1144" spans="1:10" ht="15" hidden="1" thickBot="1" x14ac:dyDescent="0.35">
      <c r="A1144" s="229"/>
      <c r="B1144" s="224"/>
      <c r="C1144" s="36" t="s">
        <v>23</v>
      </c>
      <c r="D1144" s="47" t="s">
        <v>12</v>
      </c>
      <c r="E1144" s="37">
        <v>8.6199999999999999E-2</v>
      </c>
      <c r="F1144" s="31">
        <v>14.968499999999999</v>
      </c>
      <c r="G1144" s="34">
        <f t="shared" si="18"/>
        <v>1.2902847</v>
      </c>
      <c r="H1144" s="35"/>
      <c r="I1144" s="31"/>
      <c r="J1144" s="155">
        <v>0</v>
      </c>
    </row>
    <row r="1145" spans="1:10" ht="15" hidden="1" thickBot="1" x14ac:dyDescent="0.35">
      <c r="A1145" s="229"/>
      <c r="B1145" s="224"/>
      <c r="C1145" s="36" t="s">
        <v>39</v>
      </c>
      <c r="D1145" s="47" t="s">
        <v>12</v>
      </c>
      <c r="E1145" s="37">
        <v>0.27339999999999998</v>
      </c>
      <c r="F1145" s="31">
        <v>19.898499999999999</v>
      </c>
      <c r="G1145" s="34">
        <f t="shared" si="18"/>
        <v>5.4402498999999995</v>
      </c>
      <c r="H1145" s="35"/>
      <c r="I1145" s="31"/>
      <c r="J1145" s="155">
        <v>0</v>
      </c>
    </row>
    <row r="1146" spans="1:10" ht="15" hidden="1" thickBot="1" x14ac:dyDescent="0.35">
      <c r="A1146" s="230"/>
      <c r="B1146" s="225"/>
      <c r="C1146" s="36"/>
      <c r="D1146" s="36"/>
      <c r="E1146" s="37"/>
      <c r="F1146" s="31" t="s">
        <v>560</v>
      </c>
      <c r="G1146" s="31" t="str">
        <f t="shared" si="18"/>
        <v/>
      </c>
      <c r="H1146" s="35"/>
      <c r="I1146" s="31"/>
      <c r="J1146" s="155">
        <v>0</v>
      </c>
    </row>
    <row r="1147" spans="1:10" ht="15" hidden="1" thickBot="1" x14ac:dyDescent="0.35">
      <c r="A1147" s="226" t="s">
        <v>388</v>
      </c>
      <c r="B1147" s="223" t="e">
        <f>INDEX(#REF!,MATCH(Composições!A1147,#REF!,0),2)</f>
        <v>#REF!</v>
      </c>
      <c r="C1147" s="41"/>
      <c r="D1147" s="26" t="e">
        <f>TRIM(INDEX(#REF!,MATCH(Composições!A1147,#REF!,0),1))</f>
        <v>#REF!</v>
      </c>
      <c r="E1147" s="27"/>
      <c r="F1147" s="42" t="s">
        <v>560</v>
      </c>
      <c r="G1147" s="28" t="str">
        <f t="shared" si="18"/>
        <v/>
      </c>
      <c r="H1147" s="29"/>
      <c r="I1147" s="30"/>
      <c r="J1147" s="155">
        <v>0</v>
      </c>
    </row>
    <row r="1148" spans="1:10" ht="15" hidden="1" thickBot="1" x14ac:dyDescent="0.35">
      <c r="A1148" s="229"/>
      <c r="B1148" s="224"/>
      <c r="C1148" s="32"/>
      <c r="D1148" s="32"/>
      <c r="E1148" s="33"/>
      <c r="F1148" s="43" t="s">
        <v>560</v>
      </c>
      <c r="G1148" s="31" t="str">
        <f t="shared" si="18"/>
        <v/>
      </c>
      <c r="H1148" s="35"/>
      <c r="I1148" s="31"/>
      <c r="J1148" s="155">
        <v>0</v>
      </c>
    </row>
    <row r="1149" spans="1:10" ht="15" hidden="1" thickBot="1" x14ac:dyDescent="0.35">
      <c r="A1149" s="229"/>
      <c r="B1149" s="224"/>
      <c r="C1149" s="36" t="s">
        <v>389</v>
      </c>
      <c r="D1149" s="47" t="s">
        <v>292</v>
      </c>
      <c r="E1149" s="37">
        <v>1</v>
      </c>
      <c r="F1149" s="34">
        <v>109.99</v>
      </c>
      <c r="G1149" s="34">
        <f t="shared" si="18"/>
        <v>109.99</v>
      </c>
      <c r="H1149" s="39">
        <f>SUM(G1149:G1152)</f>
        <v>116.86531000000001</v>
      </c>
      <c r="I1149" s="40"/>
      <c r="J1149" s="155">
        <v>0</v>
      </c>
    </row>
    <row r="1150" spans="1:10" ht="15" hidden="1" thickBot="1" x14ac:dyDescent="0.35">
      <c r="A1150" s="229"/>
      <c r="B1150" s="224"/>
      <c r="C1150" s="36" t="s">
        <v>368</v>
      </c>
      <c r="D1150" s="47" t="s">
        <v>292</v>
      </c>
      <c r="E1150" s="37">
        <v>0.05</v>
      </c>
      <c r="F1150" s="34">
        <v>3.1110000000000002</v>
      </c>
      <c r="G1150" s="34">
        <f t="shared" si="18"/>
        <v>0.15555000000000002</v>
      </c>
      <c r="H1150" s="35"/>
      <c r="I1150" s="31"/>
      <c r="J1150" s="155">
        <v>0</v>
      </c>
    </row>
    <row r="1151" spans="1:10" ht="15" hidden="1" thickBot="1" x14ac:dyDescent="0.35">
      <c r="A1151" s="229"/>
      <c r="B1151" s="224"/>
      <c r="C1151" s="36" t="s">
        <v>39</v>
      </c>
      <c r="D1151" s="47" t="s">
        <v>12</v>
      </c>
      <c r="E1151" s="37">
        <v>0.27</v>
      </c>
      <c r="F1151" s="31">
        <v>19.898499999999999</v>
      </c>
      <c r="G1151" s="34">
        <f t="shared" si="18"/>
        <v>5.3725949999999996</v>
      </c>
      <c r="H1151" s="35"/>
      <c r="I1151" s="31"/>
      <c r="J1151" s="155">
        <v>0</v>
      </c>
    </row>
    <row r="1152" spans="1:10" ht="15" hidden="1" thickBot="1" x14ac:dyDescent="0.35">
      <c r="A1152" s="229"/>
      <c r="B1152" s="224"/>
      <c r="C1152" s="36" t="s">
        <v>23</v>
      </c>
      <c r="D1152" s="47" t="s">
        <v>12</v>
      </c>
      <c r="E1152" s="37">
        <v>0.09</v>
      </c>
      <c r="F1152" s="31">
        <v>14.968499999999999</v>
      </c>
      <c r="G1152" s="34">
        <f t="shared" si="18"/>
        <v>1.3471649999999999</v>
      </c>
      <c r="H1152" s="35"/>
      <c r="I1152" s="31"/>
      <c r="J1152" s="155">
        <v>0</v>
      </c>
    </row>
    <row r="1153" spans="1:10" ht="15" hidden="1" thickBot="1" x14ac:dyDescent="0.35">
      <c r="A1153" s="230"/>
      <c r="B1153" s="225"/>
      <c r="C1153" s="36"/>
      <c r="D1153" s="36"/>
      <c r="E1153" s="37"/>
      <c r="F1153" s="31" t="s">
        <v>560</v>
      </c>
      <c r="G1153" s="31" t="str">
        <f t="shared" si="18"/>
        <v/>
      </c>
      <c r="H1153" s="35"/>
      <c r="I1153" s="31"/>
      <c r="J1153" s="155">
        <v>0</v>
      </c>
    </row>
    <row r="1154" spans="1:10" ht="15" hidden="1" thickBot="1" x14ac:dyDescent="0.35">
      <c r="A1154" s="226" t="s">
        <v>390</v>
      </c>
      <c r="B1154" s="223" t="e">
        <f>INDEX(#REF!,MATCH(Composições!A1154,#REF!,0),2)</f>
        <v>#REF!</v>
      </c>
      <c r="C1154" s="41"/>
      <c r="D1154" s="26" t="e">
        <f>TRIM(INDEX(#REF!,MATCH(Composições!A1154,#REF!,0),1))</f>
        <v>#REF!</v>
      </c>
      <c r="E1154" s="27"/>
      <c r="F1154" s="42" t="s">
        <v>560</v>
      </c>
      <c r="G1154" s="28" t="str">
        <f t="shared" si="18"/>
        <v/>
      </c>
      <c r="H1154" s="29"/>
      <c r="I1154" s="30"/>
      <c r="J1154" s="155">
        <v>0</v>
      </c>
    </row>
    <row r="1155" spans="1:10" ht="15" hidden="1" thickBot="1" x14ac:dyDescent="0.35">
      <c r="A1155" s="229"/>
      <c r="B1155" s="224"/>
      <c r="C1155" s="32"/>
      <c r="D1155" s="32"/>
      <c r="E1155" s="33"/>
      <c r="F1155" s="43" t="s">
        <v>560</v>
      </c>
      <c r="G1155" s="31" t="str">
        <f t="shared" si="18"/>
        <v/>
      </c>
      <c r="H1155" s="35"/>
      <c r="I1155" s="31"/>
      <c r="J1155" s="155">
        <v>0</v>
      </c>
    </row>
    <row r="1156" spans="1:10" ht="15" hidden="1" thickBot="1" x14ac:dyDescent="0.35">
      <c r="A1156" s="229"/>
      <c r="B1156" s="224"/>
      <c r="C1156" s="36" t="s">
        <v>368</v>
      </c>
      <c r="D1156" s="47" t="s">
        <v>292</v>
      </c>
      <c r="E1156" s="37">
        <v>3.32E-2</v>
      </c>
      <c r="F1156" s="34">
        <v>3.1110000000000002</v>
      </c>
      <c r="G1156" s="34">
        <f t="shared" si="18"/>
        <v>0.10328520000000001</v>
      </c>
      <c r="H1156" s="39">
        <f>SUM(G1156:G1159)</f>
        <v>123.3178198</v>
      </c>
      <c r="I1156" s="40"/>
      <c r="J1156" s="155">
        <v>0</v>
      </c>
    </row>
    <row r="1157" spans="1:10" ht="15" hidden="1" thickBot="1" x14ac:dyDescent="0.35">
      <c r="A1157" s="229"/>
      <c r="B1157" s="224"/>
      <c r="C1157" s="36" t="s">
        <v>23</v>
      </c>
      <c r="D1157" s="47" t="s">
        <v>12</v>
      </c>
      <c r="E1157" s="37">
        <v>8.6199999999999999E-2</v>
      </c>
      <c r="F1157" s="31">
        <v>14.968499999999999</v>
      </c>
      <c r="G1157" s="34">
        <f t="shared" si="18"/>
        <v>1.2902847</v>
      </c>
      <c r="H1157" s="45"/>
      <c r="I1157" s="46"/>
      <c r="J1157" s="155">
        <v>0</v>
      </c>
    </row>
    <row r="1158" spans="1:10" ht="15" hidden="1" thickBot="1" x14ac:dyDescent="0.35">
      <c r="A1158" s="229"/>
      <c r="B1158" s="224"/>
      <c r="C1158" s="36" t="s">
        <v>39</v>
      </c>
      <c r="D1158" s="47" t="s">
        <v>12</v>
      </c>
      <c r="E1158" s="37">
        <v>0.27339999999999998</v>
      </c>
      <c r="F1158" s="31">
        <v>19.898499999999999</v>
      </c>
      <c r="G1158" s="34">
        <f t="shared" si="18"/>
        <v>5.4402498999999995</v>
      </c>
      <c r="H1158" s="35"/>
      <c r="I1158" s="31"/>
      <c r="J1158" s="155">
        <v>0</v>
      </c>
    </row>
    <row r="1159" spans="1:10" ht="15" hidden="1" thickBot="1" x14ac:dyDescent="0.35">
      <c r="A1159" s="229"/>
      <c r="B1159" s="224"/>
      <c r="C1159" s="36" t="s">
        <v>391</v>
      </c>
      <c r="D1159" s="36" t="s">
        <v>20</v>
      </c>
      <c r="E1159" s="37">
        <v>1</v>
      </c>
      <c r="F1159" s="34">
        <v>116.48399999999999</v>
      </c>
      <c r="G1159" s="31">
        <f t="shared" si="18"/>
        <v>116.48399999999999</v>
      </c>
      <c r="H1159" s="35"/>
      <c r="I1159" s="31"/>
      <c r="J1159" s="155">
        <v>0</v>
      </c>
    </row>
    <row r="1160" spans="1:10" ht="15" hidden="1" thickBot="1" x14ac:dyDescent="0.35">
      <c r="A1160" s="230"/>
      <c r="B1160" s="225"/>
      <c r="C1160" s="36"/>
      <c r="D1160" s="36"/>
      <c r="E1160" s="37"/>
      <c r="F1160" s="31" t="s">
        <v>560</v>
      </c>
      <c r="G1160" s="31" t="str">
        <f t="shared" si="18"/>
        <v/>
      </c>
      <c r="H1160" s="35"/>
      <c r="I1160" s="31"/>
      <c r="J1160" s="155">
        <v>0</v>
      </c>
    </row>
    <row r="1161" spans="1:10" ht="15" hidden="1" thickBot="1" x14ac:dyDescent="0.35">
      <c r="A1161" s="226" t="s">
        <v>392</v>
      </c>
      <c r="B1161" s="223" t="e">
        <f>INDEX(#REF!,MATCH(Composições!A1161,#REF!,0),2)</f>
        <v>#REF!</v>
      </c>
      <c r="C1161" s="41"/>
      <c r="D1161" s="26" t="e">
        <f>TRIM(INDEX(#REF!,MATCH(Composições!A1161,#REF!,0),1))</f>
        <v>#REF!</v>
      </c>
      <c r="E1161" s="27"/>
      <c r="F1161" s="42" t="s">
        <v>560</v>
      </c>
      <c r="G1161" s="28" t="str">
        <f t="shared" si="18"/>
        <v/>
      </c>
      <c r="H1161" s="29"/>
      <c r="I1161" s="30"/>
      <c r="J1161" s="155">
        <v>0</v>
      </c>
    </row>
    <row r="1162" spans="1:10" ht="15" hidden="1" thickBot="1" x14ac:dyDescent="0.35">
      <c r="A1162" s="229"/>
      <c r="B1162" s="224"/>
      <c r="C1162" s="32"/>
      <c r="D1162" s="32"/>
      <c r="E1162" s="33"/>
      <c r="F1162" s="43" t="s">
        <v>560</v>
      </c>
      <c r="G1162" s="31" t="str">
        <f t="shared" si="18"/>
        <v/>
      </c>
      <c r="H1162" s="35"/>
      <c r="I1162" s="31"/>
      <c r="J1162" s="155">
        <v>0</v>
      </c>
    </row>
    <row r="1163" spans="1:10" ht="15" hidden="1" thickBot="1" x14ac:dyDescent="0.35">
      <c r="A1163" s="229"/>
      <c r="B1163" s="224"/>
      <c r="C1163" s="36" t="s">
        <v>393</v>
      </c>
      <c r="D1163" s="47" t="s">
        <v>147</v>
      </c>
      <c r="E1163" s="37">
        <v>1</v>
      </c>
      <c r="F1163" s="34" t="s">
        <v>560</v>
      </c>
      <c r="G1163" s="34" t="str">
        <f t="shared" si="18"/>
        <v/>
      </c>
      <c r="H1163" s="39">
        <f>SUM(G1163:G1166)</f>
        <v>4.1682571999999993</v>
      </c>
      <c r="I1163" s="40"/>
      <c r="J1163" s="155">
        <v>0</v>
      </c>
    </row>
    <row r="1164" spans="1:10" ht="15" hidden="1" thickBot="1" x14ac:dyDescent="0.35">
      <c r="A1164" s="229"/>
      <c r="B1164" s="224"/>
      <c r="C1164" s="36" t="s">
        <v>368</v>
      </c>
      <c r="D1164" s="47" t="s">
        <v>292</v>
      </c>
      <c r="E1164" s="37">
        <v>2.1000000000000001E-2</v>
      </c>
      <c r="F1164" s="34">
        <v>3.1110000000000002</v>
      </c>
      <c r="G1164" s="34">
        <f t="shared" si="18"/>
        <v>6.5331000000000014E-2</v>
      </c>
      <c r="H1164" s="35"/>
      <c r="I1164" s="31"/>
      <c r="J1164" s="155">
        <v>0</v>
      </c>
    </row>
    <row r="1165" spans="1:10" ht="15" hidden="1" thickBot="1" x14ac:dyDescent="0.35">
      <c r="A1165" s="229"/>
      <c r="B1165" s="224"/>
      <c r="C1165" s="36" t="s">
        <v>39</v>
      </c>
      <c r="D1165" s="47" t="s">
        <v>12</v>
      </c>
      <c r="E1165" s="37">
        <v>0.16669999999999999</v>
      </c>
      <c r="F1165" s="31">
        <v>19.898499999999999</v>
      </c>
      <c r="G1165" s="34">
        <f t="shared" si="18"/>
        <v>3.3170799499999997</v>
      </c>
      <c r="H1165" s="35"/>
      <c r="I1165" s="31"/>
      <c r="J1165" s="155">
        <v>0</v>
      </c>
    </row>
    <row r="1166" spans="1:10" ht="15" hidden="1" thickBot="1" x14ac:dyDescent="0.35">
      <c r="A1166" s="229"/>
      <c r="B1166" s="224"/>
      <c r="C1166" s="36" t="s">
        <v>23</v>
      </c>
      <c r="D1166" s="47" t="s">
        <v>12</v>
      </c>
      <c r="E1166" s="37">
        <v>5.2499999999999998E-2</v>
      </c>
      <c r="F1166" s="31">
        <v>14.968499999999999</v>
      </c>
      <c r="G1166" s="34">
        <f t="shared" si="18"/>
        <v>0.78584624999999986</v>
      </c>
      <c r="H1166" s="35"/>
      <c r="I1166" s="31"/>
      <c r="J1166" s="155">
        <v>0</v>
      </c>
    </row>
    <row r="1167" spans="1:10" ht="15" hidden="1" thickBot="1" x14ac:dyDescent="0.35">
      <c r="A1167" s="230"/>
      <c r="B1167" s="225"/>
      <c r="C1167" s="36"/>
      <c r="D1167" s="36"/>
      <c r="E1167" s="37"/>
      <c r="F1167" s="31" t="s">
        <v>560</v>
      </c>
      <c r="G1167" s="31" t="str">
        <f t="shared" si="18"/>
        <v/>
      </c>
      <c r="H1167" s="35"/>
      <c r="I1167" s="31"/>
      <c r="J1167" s="155">
        <v>0</v>
      </c>
    </row>
    <row r="1168" spans="1:10" ht="15" hidden="1" thickBot="1" x14ac:dyDescent="0.35">
      <c r="A1168" s="226" t="s">
        <v>394</v>
      </c>
      <c r="B1168" s="223" t="e">
        <f>INDEX(#REF!,MATCH(Composições!A1168,#REF!,0),2)</f>
        <v>#REF!</v>
      </c>
      <c r="C1168" s="41"/>
      <c r="D1168" s="26" t="e">
        <f>TRIM(INDEX(#REF!,MATCH(Composições!A1168,#REF!,0),1))</f>
        <v>#REF!</v>
      </c>
      <c r="E1168" s="27"/>
      <c r="F1168" s="42" t="s">
        <v>560</v>
      </c>
      <c r="G1168" s="28" t="str">
        <f t="shared" si="18"/>
        <v/>
      </c>
      <c r="H1168" s="29"/>
      <c r="I1168" s="30"/>
      <c r="J1168" s="155">
        <v>0</v>
      </c>
    </row>
    <row r="1169" spans="1:10" ht="15" hidden="1" thickBot="1" x14ac:dyDescent="0.35">
      <c r="A1169" s="229"/>
      <c r="B1169" s="224"/>
      <c r="C1169" s="32"/>
      <c r="D1169" s="32"/>
      <c r="E1169" s="33"/>
      <c r="F1169" s="43" t="s">
        <v>560</v>
      </c>
      <c r="G1169" s="31" t="str">
        <f t="shared" si="18"/>
        <v/>
      </c>
      <c r="H1169" s="35"/>
      <c r="I1169" s="31"/>
      <c r="J1169" s="155">
        <v>0</v>
      </c>
    </row>
    <row r="1170" spans="1:10" ht="27" hidden="1" thickBot="1" x14ac:dyDescent="0.35">
      <c r="A1170" s="229"/>
      <c r="B1170" s="224"/>
      <c r="C1170" s="36" t="s">
        <v>395</v>
      </c>
      <c r="D1170" s="47" t="s">
        <v>147</v>
      </c>
      <c r="E1170" s="37">
        <v>1</v>
      </c>
      <c r="F1170" s="34" t="s">
        <v>560</v>
      </c>
      <c r="G1170" s="34" t="str">
        <f t="shared" ref="G1170:G1233" si="19">IF(ISNUMBER(F1170),E1170*F1170,"")</f>
        <v/>
      </c>
      <c r="H1170" s="39">
        <f>SUM(G1170:G1173)</f>
        <v>4.1682571999999993</v>
      </c>
      <c r="I1170" s="40"/>
      <c r="J1170" s="155">
        <v>0</v>
      </c>
    </row>
    <row r="1171" spans="1:10" ht="15" hidden="1" thickBot="1" x14ac:dyDescent="0.35">
      <c r="A1171" s="229"/>
      <c r="B1171" s="224"/>
      <c r="C1171" s="36" t="s">
        <v>368</v>
      </c>
      <c r="D1171" s="47" t="s">
        <v>292</v>
      </c>
      <c r="E1171" s="37">
        <v>2.1000000000000001E-2</v>
      </c>
      <c r="F1171" s="34">
        <v>3.1110000000000002</v>
      </c>
      <c r="G1171" s="34">
        <f t="shared" si="19"/>
        <v>6.5331000000000014E-2</v>
      </c>
      <c r="H1171" s="35"/>
      <c r="I1171" s="31"/>
      <c r="J1171" s="155">
        <v>0</v>
      </c>
    </row>
    <row r="1172" spans="1:10" ht="15" hidden="1" thickBot="1" x14ac:dyDescent="0.35">
      <c r="A1172" s="229"/>
      <c r="B1172" s="224"/>
      <c r="C1172" s="36" t="s">
        <v>39</v>
      </c>
      <c r="D1172" s="47" t="s">
        <v>12</v>
      </c>
      <c r="E1172" s="37">
        <v>0.16669999999999999</v>
      </c>
      <c r="F1172" s="31">
        <v>19.898499999999999</v>
      </c>
      <c r="G1172" s="34">
        <f t="shared" si="19"/>
        <v>3.3170799499999997</v>
      </c>
      <c r="H1172" s="35"/>
      <c r="I1172" s="31"/>
      <c r="J1172" s="155">
        <v>0</v>
      </c>
    </row>
    <row r="1173" spans="1:10" ht="15" hidden="1" thickBot="1" x14ac:dyDescent="0.35">
      <c r="A1173" s="229"/>
      <c r="B1173" s="224"/>
      <c r="C1173" s="36" t="s">
        <v>23</v>
      </c>
      <c r="D1173" s="47" t="s">
        <v>12</v>
      </c>
      <c r="E1173" s="37">
        <v>5.2499999999999998E-2</v>
      </c>
      <c r="F1173" s="31">
        <v>14.968499999999999</v>
      </c>
      <c r="G1173" s="34">
        <f t="shared" si="19"/>
        <v>0.78584624999999986</v>
      </c>
      <c r="H1173" s="35"/>
      <c r="I1173" s="31"/>
      <c r="J1173" s="155">
        <v>0</v>
      </c>
    </row>
    <row r="1174" spans="1:10" ht="15" hidden="1" thickBot="1" x14ac:dyDescent="0.35">
      <c r="A1174" s="230"/>
      <c r="B1174" s="225"/>
      <c r="C1174" s="36"/>
      <c r="D1174" s="36"/>
      <c r="E1174" s="37"/>
      <c r="F1174" s="31" t="s">
        <v>560</v>
      </c>
      <c r="G1174" s="31" t="str">
        <f t="shared" si="19"/>
        <v/>
      </c>
      <c r="H1174" s="35"/>
      <c r="I1174" s="31"/>
      <c r="J1174" s="155">
        <v>0</v>
      </c>
    </row>
    <row r="1175" spans="1:10" ht="15" hidden="1" thickBot="1" x14ac:dyDescent="0.35">
      <c r="A1175" s="226" t="s">
        <v>396</v>
      </c>
      <c r="B1175" s="223" t="e">
        <f>INDEX(#REF!,MATCH(Composições!A1175,#REF!,0),2)</f>
        <v>#REF!</v>
      </c>
      <c r="C1175" s="41"/>
      <c r="D1175" s="26" t="e">
        <f>TRIM(INDEX(#REF!,MATCH(Composições!A1175,#REF!,0),1))</f>
        <v>#REF!</v>
      </c>
      <c r="E1175" s="27"/>
      <c r="F1175" s="42" t="s">
        <v>560</v>
      </c>
      <c r="G1175" s="28" t="str">
        <f t="shared" si="19"/>
        <v/>
      </c>
      <c r="H1175" s="29"/>
      <c r="I1175" s="30"/>
      <c r="J1175" s="155">
        <v>0</v>
      </c>
    </row>
    <row r="1176" spans="1:10" ht="15" hidden="1" thickBot="1" x14ac:dyDescent="0.35">
      <c r="A1176" s="229"/>
      <c r="B1176" s="224"/>
      <c r="C1176" s="32"/>
      <c r="D1176" s="32"/>
      <c r="E1176" s="33"/>
      <c r="F1176" s="43" t="s">
        <v>560</v>
      </c>
      <c r="G1176" s="31" t="str">
        <f t="shared" si="19"/>
        <v/>
      </c>
      <c r="H1176" s="35"/>
      <c r="I1176" s="31"/>
      <c r="J1176" s="155">
        <v>0</v>
      </c>
    </row>
    <row r="1177" spans="1:10" ht="27" hidden="1" thickBot="1" x14ac:dyDescent="0.35">
      <c r="A1177" s="229"/>
      <c r="B1177" s="224"/>
      <c r="C1177" s="36" t="s">
        <v>397</v>
      </c>
      <c r="D1177" s="47" t="s">
        <v>147</v>
      </c>
      <c r="E1177" s="37">
        <v>1</v>
      </c>
      <c r="F1177" s="34" t="s">
        <v>560</v>
      </c>
      <c r="G1177" s="34" t="str">
        <f t="shared" si="19"/>
        <v/>
      </c>
      <c r="H1177" s="39">
        <f>SUM(G1177:G1180)</f>
        <v>2.4291325499999998</v>
      </c>
      <c r="I1177" s="40"/>
      <c r="J1177" s="155">
        <v>0</v>
      </c>
    </row>
    <row r="1178" spans="1:10" ht="15" hidden="1" thickBot="1" x14ac:dyDescent="0.35">
      <c r="A1178" s="229"/>
      <c r="B1178" s="224"/>
      <c r="C1178" s="36" t="s">
        <v>368</v>
      </c>
      <c r="D1178" s="47" t="s">
        <v>292</v>
      </c>
      <c r="E1178" s="37">
        <v>2.1000000000000001E-2</v>
      </c>
      <c r="F1178" s="34">
        <v>3.1110000000000002</v>
      </c>
      <c r="G1178" s="34">
        <f t="shared" si="19"/>
        <v>6.5331000000000014E-2</v>
      </c>
      <c r="H1178" s="35"/>
      <c r="I1178" s="31"/>
      <c r="J1178" s="155">
        <v>0</v>
      </c>
    </row>
    <row r="1179" spans="1:10" ht="15" hidden="1" thickBot="1" x14ac:dyDescent="0.35">
      <c r="A1179" s="229"/>
      <c r="B1179" s="224"/>
      <c r="C1179" s="36" t="s">
        <v>39</v>
      </c>
      <c r="D1179" s="47" t="s">
        <v>12</v>
      </c>
      <c r="E1179" s="37">
        <v>9.6000000000000002E-2</v>
      </c>
      <c r="F1179" s="31">
        <v>19.898499999999999</v>
      </c>
      <c r="G1179" s="34">
        <f t="shared" si="19"/>
        <v>1.910256</v>
      </c>
      <c r="H1179" s="35"/>
      <c r="I1179" s="31"/>
      <c r="J1179" s="155">
        <v>0</v>
      </c>
    </row>
    <row r="1180" spans="1:10" ht="15" hidden="1" thickBot="1" x14ac:dyDescent="0.35">
      <c r="A1180" s="229"/>
      <c r="B1180" s="224"/>
      <c r="C1180" s="36" t="s">
        <v>23</v>
      </c>
      <c r="D1180" s="47" t="s">
        <v>12</v>
      </c>
      <c r="E1180" s="37">
        <v>3.0300000000000001E-2</v>
      </c>
      <c r="F1180" s="31">
        <v>14.968499999999999</v>
      </c>
      <c r="G1180" s="34">
        <f t="shared" si="19"/>
        <v>0.45354554999999996</v>
      </c>
      <c r="H1180" s="35"/>
      <c r="I1180" s="31"/>
      <c r="J1180" s="155">
        <v>0</v>
      </c>
    </row>
    <row r="1181" spans="1:10" ht="15" hidden="1" thickBot="1" x14ac:dyDescent="0.35">
      <c r="A1181" s="230"/>
      <c r="B1181" s="225"/>
      <c r="C1181" s="36"/>
      <c r="D1181" s="36"/>
      <c r="E1181" s="37"/>
      <c r="F1181" s="31" t="s">
        <v>560</v>
      </c>
      <c r="G1181" s="31" t="str">
        <f t="shared" si="19"/>
        <v/>
      </c>
      <c r="H1181" s="35"/>
      <c r="I1181" s="31"/>
      <c r="J1181" s="155">
        <v>0</v>
      </c>
    </row>
    <row r="1182" spans="1:10" ht="15" hidden="1" thickBot="1" x14ac:dyDescent="0.35">
      <c r="A1182" s="226" t="s">
        <v>398</v>
      </c>
      <c r="B1182" s="223" t="e">
        <f>INDEX(#REF!,MATCH(Composições!A1182,#REF!,0),2)</f>
        <v>#REF!</v>
      </c>
      <c r="C1182" s="41"/>
      <c r="D1182" s="26" t="e">
        <f>TRIM(INDEX(#REF!,MATCH(Composições!A1182,#REF!,0),1))</f>
        <v>#REF!</v>
      </c>
      <c r="E1182" s="27"/>
      <c r="F1182" s="42" t="s">
        <v>560</v>
      </c>
      <c r="G1182" s="28" t="str">
        <f t="shared" si="19"/>
        <v/>
      </c>
      <c r="H1182" s="29"/>
      <c r="I1182" s="30"/>
      <c r="J1182" s="155">
        <v>0</v>
      </c>
    </row>
    <row r="1183" spans="1:10" ht="15" hidden="1" thickBot="1" x14ac:dyDescent="0.35">
      <c r="A1183" s="229"/>
      <c r="B1183" s="224"/>
      <c r="C1183" s="32"/>
      <c r="D1183" s="32"/>
      <c r="E1183" s="33"/>
      <c r="F1183" s="43" t="s">
        <v>560</v>
      </c>
      <c r="G1183" s="31" t="str">
        <f t="shared" si="19"/>
        <v/>
      </c>
      <c r="H1183" s="35"/>
      <c r="I1183" s="31"/>
      <c r="J1183" s="155">
        <v>0</v>
      </c>
    </row>
    <row r="1184" spans="1:10" ht="27" hidden="1" thickBot="1" x14ac:dyDescent="0.35">
      <c r="A1184" s="229"/>
      <c r="B1184" s="224"/>
      <c r="C1184" s="36" t="s">
        <v>399</v>
      </c>
      <c r="D1184" s="47" t="s">
        <v>147</v>
      </c>
      <c r="E1184" s="37">
        <v>1</v>
      </c>
      <c r="F1184" s="34" t="s">
        <v>560</v>
      </c>
      <c r="G1184" s="34" t="str">
        <f t="shared" si="19"/>
        <v/>
      </c>
      <c r="H1184" s="39">
        <f>SUM(G1184:G1187)</f>
        <v>2.4291325499999998</v>
      </c>
      <c r="I1184" s="40"/>
      <c r="J1184" s="155">
        <v>0</v>
      </c>
    </row>
    <row r="1185" spans="1:10" ht="15" hidden="1" thickBot="1" x14ac:dyDescent="0.35">
      <c r="A1185" s="229"/>
      <c r="B1185" s="224"/>
      <c r="C1185" s="36" t="s">
        <v>368</v>
      </c>
      <c r="D1185" s="47" t="s">
        <v>292</v>
      </c>
      <c r="E1185" s="37">
        <v>2.1000000000000001E-2</v>
      </c>
      <c r="F1185" s="34">
        <v>3.1110000000000002</v>
      </c>
      <c r="G1185" s="34">
        <f t="shared" si="19"/>
        <v>6.5331000000000014E-2</v>
      </c>
      <c r="H1185" s="35"/>
      <c r="I1185" s="31"/>
      <c r="J1185" s="155">
        <v>0</v>
      </c>
    </row>
    <row r="1186" spans="1:10" ht="15" hidden="1" thickBot="1" x14ac:dyDescent="0.35">
      <c r="A1186" s="229"/>
      <c r="B1186" s="224"/>
      <c r="C1186" s="36" t="s">
        <v>39</v>
      </c>
      <c r="D1186" s="47" t="s">
        <v>12</v>
      </c>
      <c r="E1186" s="37">
        <v>9.6000000000000002E-2</v>
      </c>
      <c r="F1186" s="31">
        <v>19.898499999999999</v>
      </c>
      <c r="G1186" s="34">
        <f t="shared" si="19"/>
        <v>1.910256</v>
      </c>
      <c r="H1186" s="35"/>
      <c r="I1186" s="31"/>
      <c r="J1186" s="155">
        <v>0</v>
      </c>
    </row>
    <row r="1187" spans="1:10" ht="15" hidden="1" thickBot="1" x14ac:dyDescent="0.35">
      <c r="A1187" s="229"/>
      <c r="B1187" s="224"/>
      <c r="C1187" s="36" t="s">
        <v>23</v>
      </c>
      <c r="D1187" s="47" t="s">
        <v>12</v>
      </c>
      <c r="E1187" s="37">
        <v>3.0300000000000001E-2</v>
      </c>
      <c r="F1187" s="31">
        <v>14.968499999999999</v>
      </c>
      <c r="G1187" s="34">
        <f t="shared" si="19"/>
        <v>0.45354554999999996</v>
      </c>
      <c r="H1187" s="35"/>
      <c r="I1187" s="31"/>
      <c r="J1187" s="155">
        <v>0</v>
      </c>
    </row>
    <row r="1188" spans="1:10" ht="15" hidden="1" thickBot="1" x14ac:dyDescent="0.35">
      <c r="A1188" s="230"/>
      <c r="B1188" s="225"/>
      <c r="C1188" s="36"/>
      <c r="D1188" s="36"/>
      <c r="E1188" s="37"/>
      <c r="F1188" s="31" t="s">
        <v>560</v>
      </c>
      <c r="G1188" s="31" t="str">
        <f t="shared" si="19"/>
        <v/>
      </c>
      <c r="H1188" s="35"/>
      <c r="I1188" s="31"/>
      <c r="J1188" s="155">
        <v>0</v>
      </c>
    </row>
    <row r="1189" spans="1:10" ht="15" hidden="1" thickBot="1" x14ac:dyDescent="0.35">
      <c r="A1189" s="226" t="s">
        <v>400</v>
      </c>
      <c r="B1189" s="223" t="e">
        <f>INDEX(#REF!,MATCH(Composições!A1189,#REF!,0),2)</f>
        <v>#REF!</v>
      </c>
      <c r="C1189" s="41"/>
      <c r="D1189" s="26" t="e">
        <f>TRIM(INDEX(#REF!,MATCH(Composições!A1189,#REF!,0),1))</f>
        <v>#REF!</v>
      </c>
      <c r="E1189" s="27"/>
      <c r="F1189" s="42" t="s">
        <v>560</v>
      </c>
      <c r="G1189" s="28" t="str">
        <f t="shared" si="19"/>
        <v/>
      </c>
      <c r="H1189" s="29"/>
      <c r="I1189" s="30"/>
      <c r="J1189" s="155">
        <v>0</v>
      </c>
    </row>
    <row r="1190" spans="1:10" ht="15" hidden="1" thickBot="1" x14ac:dyDescent="0.35">
      <c r="A1190" s="229"/>
      <c r="B1190" s="224"/>
      <c r="C1190" s="32"/>
      <c r="D1190" s="32"/>
      <c r="E1190" s="33"/>
      <c r="F1190" s="43" t="s">
        <v>560</v>
      </c>
      <c r="G1190" s="31" t="str">
        <f t="shared" si="19"/>
        <v/>
      </c>
      <c r="H1190" s="35"/>
      <c r="I1190" s="31"/>
      <c r="J1190" s="155">
        <v>0</v>
      </c>
    </row>
    <row r="1191" spans="1:10" ht="27" hidden="1" thickBot="1" x14ac:dyDescent="0.35">
      <c r="A1191" s="229"/>
      <c r="B1191" s="224"/>
      <c r="C1191" s="36" t="s">
        <v>401</v>
      </c>
      <c r="D1191" s="47" t="s">
        <v>147</v>
      </c>
      <c r="E1191" s="37">
        <v>1</v>
      </c>
      <c r="F1191" s="34" t="s">
        <v>560</v>
      </c>
      <c r="G1191" s="34" t="str">
        <f t="shared" si="19"/>
        <v/>
      </c>
      <c r="H1191" s="39">
        <f>SUM(G1191:G1194)</f>
        <v>2.4291325499999998</v>
      </c>
      <c r="I1191" s="40"/>
      <c r="J1191" s="155">
        <v>0</v>
      </c>
    </row>
    <row r="1192" spans="1:10" ht="15" hidden="1" thickBot="1" x14ac:dyDescent="0.35">
      <c r="A1192" s="229"/>
      <c r="B1192" s="224"/>
      <c r="C1192" s="36" t="s">
        <v>368</v>
      </c>
      <c r="D1192" s="47" t="s">
        <v>292</v>
      </c>
      <c r="E1192" s="37">
        <v>2.1000000000000001E-2</v>
      </c>
      <c r="F1192" s="34">
        <v>3.1110000000000002</v>
      </c>
      <c r="G1192" s="34">
        <f t="shared" si="19"/>
        <v>6.5331000000000014E-2</v>
      </c>
      <c r="H1192" s="35"/>
      <c r="I1192" s="31"/>
      <c r="J1192" s="155">
        <v>0</v>
      </c>
    </row>
    <row r="1193" spans="1:10" ht="15" hidden="1" thickBot="1" x14ac:dyDescent="0.35">
      <c r="A1193" s="229"/>
      <c r="B1193" s="224"/>
      <c r="C1193" s="36" t="s">
        <v>39</v>
      </c>
      <c r="D1193" s="47" t="s">
        <v>12</v>
      </c>
      <c r="E1193" s="37">
        <v>9.6000000000000002E-2</v>
      </c>
      <c r="F1193" s="31">
        <v>19.898499999999999</v>
      </c>
      <c r="G1193" s="34">
        <f t="shared" si="19"/>
        <v>1.910256</v>
      </c>
      <c r="H1193" s="35"/>
      <c r="I1193" s="31"/>
      <c r="J1193" s="155">
        <v>0</v>
      </c>
    </row>
    <row r="1194" spans="1:10" ht="15" hidden="1" thickBot="1" x14ac:dyDescent="0.35">
      <c r="A1194" s="229"/>
      <c r="B1194" s="224"/>
      <c r="C1194" s="36" t="s">
        <v>23</v>
      </c>
      <c r="D1194" s="47" t="s">
        <v>12</v>
      </c>
      <c r="E1194" s="37">
        <v>3.0300000000000001E-2</v>
      </c>
      <c r="F1194" s="31">
        <v>14.968499999999999</v>
      </c>
      <c r="G1194" s="34">
        <f t="shared" si="19"/>
        <v>0.45354554999999996</v>
      </c>
      <c r="H1194" s="35"/>
      <c r="I1194" s="31"/>
      <c r="J1194" s="155">
        <v>0</v>
      </c>
    </row>
    <row r="1195" spans="1:10" ht="15" hidden="1" thickBot="1" x14ac:dyDescent="0.35">
      <c r="A1195" s="230"/>
      <c r="B1195" s="225"/>
      <c r="C1195" s="36"/>
      <c r="D1195" s="36"/>
      <c r="E1195" s="37"/>
      <c r="F1195" s="31" t="s">
        <v>560</v>
      </c>
      <c r="G1195" s="31" t="str">
        <f t="shared" si="19"/>
        <v/>
      </c>
      <c r="H1195" s="35"/>
      <c r="I1195" s="31"/>
      <c r="J1195" s="155">
        <v>0</v>
      </c>
    </row>
    <row r="1196" spans="1:10" ht="15" hidden="1" thickBot="1" x14ac:dyDescent="0.35">
      <c r="A1196" s="226" t="s">
        <v>402</v>
      </c>
      <c r="B1196" s="223" t="e">
        <f>INDEX(#REF!,MATCH(Composições!A1196,#REF!,0),2)</f>
        <v>#REF!</v>
      </c>
      <c r="C1196" s="41"/>
      <c r="D1196" s="26" t="e">
        <f>TRIM(INDEX(#REF!,MATCH(Composições!A1196,#REF!,0),1))</f>
        <v>#REF!</v>
      </c>
      <c r="E1196" s="27"/>
      <c r="F1196" s="42" t="s">
        <v>560</v>
      </c>
      <c r="G1196" s="28" t="str">
        <f t="shared" si="19"/>
        <v/>
      </c>
      <c r="H1196" s="29"/>
      <c r="I1196" s="30"/>
      <c r="J1196" s="155">
        <v>0</v>
      </c>
    </row>
    <row r="1197" spans="1:10" ht="15" hidden="1" thickBot="1" x14ac:dyDescent="0.35">
      <c r="A1197" s="229"/>
      <c r="B1197" s="224"/>
      <c r="C1197" s="32"/>
      <c r="D1197" s="32"/>
      <c r="E1197" s="33"/>
      <c r="F1197" s="43" t="s">
        <v>560</v>
      </c>
      <c r="G1197" s="31" t="str">
        <f t="shared" si="19"/>
        <v/>
      </c>
      <c r="H1197" s="35"/>
      <c r="I1197" s="31"/>
      <c r="J1197" s="155">
        <v>0</v>
      </c>
    </row>
    <row r="1198" spans="1:10" ht="27" hidden="1" thickBot="1" x14ac:dyDescent="0.35">
      <c r="A1198" s="229"/>
      <c r="B1198" s="224"/>
      <c r="C1198" s="36" t="s">
        <v>403</v>
      </c>
      <c r="D1198" s="47" t="s">
        <v>292</v>
      </c>
      <c r="E1198" s="37">
        <v>1</v>
      </c>
      <c r="F1198" s="34">
        <v>141.87350000000001</v>
      </c>
      <c r="G1198" s="34">
        <f t="shared" si="19"/>
        <v>141.87350000000001</v>
      </c>
      <c r="H1198" s="39">
        <f>SUM(G1198:G1201)</f>
        <v>144.30263255</v>
      </c>
      <c r="I1198" s="40"/>
      <c r="J1198" s="155">
        <v>0</v>
      </c>
    </row>
    <row r="1199" spans="1:10" ht="15" hidden="1" thickBot="1" x14ac:dyDescent="0.35">
      <c r="A1199" s="229"/>
      <c r="B1199" s="224"/>
      <c r="C1199" s="36" t="s">
        <v>368</v>
      </c>
      <c r="D1199" s="47" t="s">
        <v>292</v>
      </c>
      <c r="E1199" s="37">
        <v>2.1000000000000001E-2</v>
      </c>
      <c r="F1199" s="34">
        <v>3.1110000000000002</v>
      </c>
      <c r="G1199" s="34">
        <f t="shared" si="19"/>
        <v>6.5331000000000014E-2</v>
      </c>
      <c r="H1199" s="35"/>
      <c r="I1199" s="31"/>
      <c r="J1199" s="155">
        <v>0</v>
      </c>
    </row>
    <row r="1200" spans="1:10" ht="15" hidden="1" thickBot="1" x14ac:dyDescent="0.35">
      <c r="A1200" s="229"/>
      <c r="B1200" s="224"/>
      <c r="C1200" s="36" t="s">
        <v>39</v>
      </c>
      <c r="D1200" s="47" t="s">
        <v>12</v>
      </c>
      <c r="E1200" s="37">
        <v>9.6000000000000002E-2</v>
      </c>
      <c r="F1200" s="31">
        <v>19.898499999999999</v>
      </c>
      <c r="G1200" s="34">
        <f t="shared" si="19"/>
        <v>1.910256</v>
      </c>
      <c r="H1200" s="35"/>
      <c r="I1200" s="31"/>
      <c r="J1200" s="155">
        <v>0</v>
      </c>
    </row>
    <row r="1201" spans="1:10" ht="15" hidden="1" thickBot="1" x14ac:dyDescent="0.35">
      <c r="A1201" s="229"/>
      <c r="B1201" s="224"/>
      <c r="C1201" s="36" t="s">
        <v>23</v>
      </c>
      <c r="D1201" s="47" t="s">
        <v>12</v>
      </c>
      <c r="E1201" s="37">
        <v>3.0300000000000001E-2</v>
      </c>
      <c r="F1201" s="31">
        <v>14.968499999999999</v>
      </c>
      <c r="G1201" s="34">
        <f t="shared" si="19"/>
        <v>0.45354554999999996</v>
      </c>
      <c r="H1201" s="35"/>
      <c r="I1201" s="31"/>
      <c r="J1201" s="155">
        <v>0</v>
      </c>
    </row>
    <row r="1202" spans="1:10" ht="15" hidden="1" thickBot="1" x14ac:dyDescent="0.35">
      <c r="A1202" s="230"/>
      <c r="B1202" s="225"/>
      <c r="C1202" s="36"/>
      <c r="D1202" s="36"/>
      <c r="E1202" s="37"/>
      <c r="F1202" s="31" t="s">
        <v>560</v>
      </c>
      <c r="G1202" s="31" t="str">
        <f t="shared" si="19"/>
        <v/>
      </c>
      <c r="H1202" s="35"/>
      <c r="I1202" s="31"/>
      <c r="J1202" s="155">
        <v>0</v>
      </c>
    </row>
    <row r="1203" spans="1:10" ht="15" hidden="1" thickBot="1" x14ac:dyDescent="0.35">
      <c r="A1203" s="226" t="s">
        <v>404</v>
      </c>
      <c r="B1203" s="223" t="e">
        <f>INDEX(#REF!,MATCH(Composições!A1203,#REF!,0),2)</f>
        <v>#REF!</v>
      </c>
      <c r="C1203" s="41"/>
      <c r="D1203" s="26" t="e">
        <f>TRIM(INDEX(#REF!,MATCH(Composições!A1203,#REF!,0),1))</f>
        <v>#REF!</v>
      </c>
      <c r="E1203" s="27"/>
      <c r="F1203" s="42" t="s">
        <v>560</v>
      </c>
      <c r="G1203" s="28" t="str">
        <f t="shared" si="19"/>
        <v/>
      </c>
      <c r="H1203" s="29"/>
      <c r="I1203" s="30"/>
      <c r="J1203" s="155">
        <v>0</v>
      </c>
    </row>
    <row r="1204" spans="1:10" ht="15" hidden="1" thickBot="1" x14ac:dyDescent="0.35">
      <c r="A1204" s="229"/>
      <c r="B1204" s="224"/>
      <c r="C1204" s="32"/>
      <c r="D1204" s="32"/>
      <c r="E1204" s="33"/>
      <c r="F1204" s="43" t="s">
        <v>560</v>
      </c>
      <c r="G1204" s="31" t="str">
        <f t="shared" si="19"/>
        <v/>
      </c>
      <c r="H1204" s="35"/>
      <c r="I1204" s="31"/>
      <c r="J1204" s="155">
        <v>0</v>
      </c>
    </row>
    <row r="1205" spans="1:10" ht="27" hidden="1" thickBot="1" x14ac:dyDescent="0.35">
      <c r="A1205" s="229"/>
      <c r="B1205" s="224"/>
      <c r="C1205" s="36" t="s">
        <v>405</v>
      </c>
      <c r="D1205" s="47" t="s">
        <v>147</v>
      </c>
      <c r="E1205" s="37">
        <v>1</v>
      </c>
      <c r="F1205" s="34" t="s">
        <v>560</v>
      </c>
      <c r="G1205" s="34" t="str">
        <f t="shared" si="19"/>
        <v/>
      </c>
      <c r="H1205" s="39">
        <f>SUM(G1205:G1208)</f>
        <v>2.9308603499999997</v>
      </c>
      <c r="I1205" s="40"/>
      <c r="J1205" s="155">
        <v>0</v>
      </c>
    </row>
    <row r="1206" spans="1:10" ht="15" hidden="1" thickBot="1" x14ac:dyDescent="0.35">
      <c r="A1206" s="229"/>
      <c r="B1206" s="224"/>
      <c r="C1206" s="36" t="s">
        <v>368</v>
      </c>
      <c r="D1206" s="47" t="s">
        <v>292</v>
      </c>
      <c r="E1206" s="37">
        <v>2.1000000000000001E-2</v>
      </c>
      <c r="F1206" s="34">
        <v>3.1110000000000002</v>
      </c>
      <c r="G1206" s="34">
        <f t="shared" si="19"/>
        <v>6.5331000000000014E-2</v>
      </c>
      <c r="H1206" s="35"/>
      <c r="I1206" s="31"/>
      <c r="J1206" s="155">
        <v>0</v>
      </c>
    </row>
    <row r="1207" spans="1:10" ht="15" hidden="1" thickBot="1" x14ac:dyDescent="0.35">
      <c r="A1207" s="229"/>
      <c r="B1207" s="224"/>
      <c r="C1207" s="36" t="s">
        <v>39</v>
      </c>
      <c r="D1207" s="47" t="s">
        <v>12</v>
      </c>
      <c r="E1207" s="37">
        <v>0.1164</v>
      </c>
      <c r="F1207" s="31">
        <v>19.898499999999999</v>
      </c>
      <c r="G1207" s="34">
        <f t="shared" si="19"/>
        <v>2.3161853999999997</v>
      </c>
      <c r="H1207" s="35"/>
      <c r="I1207" s="31"/>
      <c r="J1207" s="155">
        <v>0</v>
      </c>
    </row>
    <row r="1208" spans="1:10" ht="15" hidden="1" thickBot="1" x14ac:dyDescent="0.35">
      <c r="A1208" s="229"/>
      <c r="B1208" s="224"/>
      <c r="C1208" s="36" t="s">
        <v>23</v>
      </c>
      <c r="D1208" s="47" t="s">
        <v>12</v>
      </c>
      <c r="E1208" s="37">
        <v>3.6700000000000003E-2</v>
      </c>
      <c r="F1208" s="31">
        <v>14.968499999999999</v>
      </c>
      <c r="G1208" s="34">
        <f t="shared" si="19"/>
        <v>0.54934395000000003</v>
      </c>
      <c r="H1208" s="35"/>
      <c r="I1208" s="31"/>
      <c r="J1208" s="155">
        <v>0</v>
      </c>
    </row>
    <row r="1209" spans="1:10" ht="15" hidden="1" thickBot="1" x14ac:dyDescent="0.35">
      <c r="A1209" s="230"/>
      <c r="B1209" s="225"/>
      <c r="C1209" s="36"/>
      <c r="D1209" s="36"/>
      <c r="E1209" s="37"/>
      <c r="F1209" s="31" t="s">
        <v>560</v>
      </c>
      <c r="G1209" s="31" t="str">
        <f t="shared" si="19"/>
        <v/>
      </c>
      <c r="H1209" s="35"/>
      <c r="I1209" s="31"/>
      <c r="J1209" s="155">
        <v>0</v>
      </c>
    </row>
    <row r="1210" spans="1:10" ht="15" hidden="1" thickBot="1" x14ac:dyDescent="0.35">
      <c r="A1210" s="226" t="s">
        <v>406</v>
      </c>
      <c r="B1210" s="223" t="e">
        <f>INDEX(#REF!,MATCH(Composições!A1210,#REF!,0),2)</f>
        <v>#REF!</v>
      </c>
      <c r="C1210" s="41"/>
      <c r="D1210" s="26" t="e">
        <f>TRIM(INDEX(#REF!,MATCH(Composições!A1210,#REF!,0),1))</f>
        <v>#REF!</v>
      </c>
      <c r="E1210" s="27"/>
      <c r="F1210" s="42" t="s">
        <v>560</v>
      </c>
      <c r="G1210" s="28" t="str">
        <f t="shared" si="19"/>
        <v/>
      </c>
      <c r="H1210" s="29"/>
      <c r="I1210" s="30"/>
      <c r="J1210" s="155">
        <v>0</v>
      </c>
    </row>
    <row r="1211" spans="1:10" ht="15" hidden="1" thickBot="1" x14ac:dyDescent="0.35">
      <c r="A1211" s="229"/>
      <c r="B1211" s="224"/>
      <c r="C1211" s="32"/>
      <c r="D1211" s="32"/>
      <c r="E1211" s="33"/>
      <c r="F1211" s="43" t="s">
        <v>560</v>
      </c>
      <c r="G1211" s="31" t="str">
        <f t="shared" si="19"/>
        <v/>
      </c>
      <c r="H1211" s="35"/>
      <c r="I1211" s="31"/>
      <c r="J1211" s="155">
        <v>0</v>
      </c>
    </row>
    <row r="1212" spans="1:10" ht="15" hidden="1" thickBot="1" x14ac:dyDescent="0.35">
      <c r="A1212" s="229"/>
      <c r="B1212" s="224"/>
      <c r="C1212" s="36" t="s">
        <v>368</v>
      </c>
      <c r="D1212" s="47" t="s">
        <v>292</v>
      </c>
      <c r="E1212" s="37">
        <v>2.1000000000000001E-2</v>
      </c>
      <c r="F1212" s="34">
        <v>3.1110000000000002</v>
      </c>
      <c r="G1212" s="34">
        <f t="shared" si="19"/>
        <v>6.5331000000000014E-2</v>
      </c>
      <c r="H1212" s="39">
        <f>SUM(G1212:G1215)</f>
        <v>54.301337099999998</v>
      </c>
      <c r="I1212" s="40"/>
      <c r="J1212" s="155">
        <v>0</v>
      </c>
    </row>
    <row r="1213" spans="1:10" ht="15" hidden="1" thickBot="1" x14ac:dyDescent="0.35">
      <c r="A1213" s="229"/>
      <c r="B1213" s="224"/>
      <c r="C1213" s="36" t="s">
        <v>39</v>
      </c>
      <c r="D1213" s="47" t="s">
        <v>12</v>
      </c>
      <c r="E1213" s="37">
        <v>0.1525</v>
      </c>
      <c r="F1213" s="31">
        <v>19.898499999999999</v>
      </c>
      <c r="G1213" s="34">
        <f t="shared" si="19"/>
        <v>3.0345212499999996</v>
      </c>
      <c r="H1213" s="35"/>
      <c r="I1213" s="31"/>
      <c r="J1213" s="155">
        <v>0</v>
      </c>
    </row>
    <row r="1214" spans="1:10" ht="15" hidden="1" thickBot="1" x14ac:dyDescent="0.35">
      <c r="A1214" s="229"/>
      <c r="B1214" s="224"/>
      <c r="C1214" s="36" t="s">
        <v>23</v>
      </c>
      <c r="D1214" s="36" t="s">
        <v>12</v>
      </c>
      <c r="E1214" s="37">
        <v>4.8099999999999997E-2</v>
      </c>
      <c r="F1214" s="31">
        <v>14.968499999999999</v>
      </c>
      <c r="G1214" s="34">
        <f t="shared" si="19"/>
        <v>0.7199848499999999</v>
      </c>
      <c r="H1214" s="35"/>
      <c r="I1214" s="31"/>
      <c r="J1214" s="155">
        <v>0</v>
      </c>
    </row>
    <row r="1215" spans="1:10" ht="15" hidden="1" thickBot="1" x14ac:dyDescent="0.35">
      <c r="A1215" s="229"/>
      <c r="B1215" s="224"/>
      <c r="C1215" s="36" t="s">
        <v>407</v>
      </c>
      <c r="D1215" s="36" t="s">
        <v>20</v>
      </c>
      <c r="E1215" s="37">
        <v>1</v>
      </c>
      <c r="F1215" s="34">
        <v>50.481499999999997</v>
      </c>
      <c r="G1215" s="31">
        <f t="shared" si="19"/>
        <v>50.481499999999997</v>
      </c>
      <c r="H1215" s="35"/>
      <c r="I1215" s="31"/>
      <c r="J1215" s="155">
        <v>0</v>
      </c>
    </row>
    <row r="1216" spans="1:10" ht="15" hidden="1" thickBot="1" x14ac:dyDescent="0.35">
      <c r="A1216" s="230"/>
      <c r="B1216" s="225"/>
      <c r="C1216" s="36"/>
      <c r="D1216" s="36"/>
      <c r="E1216" s="37"/>
      <c r="F1216" s="31" t="s">
        <v>560</v>
      </c>
      <c r="G1216" s="31" t="str">
        <f t="shared" si="19"/>
        <v/>
      </c>
      <c r="H1216" s="35"/>
      <c r="I1216" s="31"/>
      <c r="J1216" s="155">
        <v>0</v>
      </c>
    </row>
    <row r="1217" spans="1:10" ht="15" hidden="1" thickBot="1" x14ac:dyDescent="0.35">
      <c r="A1217" s="226" t="s">
        <v>408</v>
      </c>
      <c r="B1217" s="223" t="e">
        <f>INDEX(#REF!,MATCH(Composições!A1217,#REF!,0),2)</f>
        <v>#REF!</v>
      </c>
      <c r="C1217" s="41"/>
      <c r="D1217" s="26" t="e">
        <f>TRIM(INDEX(#REF!,MATCH(Composições!A1217,#REF!,0),1))</f>
        <v>#REF!</v>
      </c>
      <c r="E1217" s="27"/>
      <c r="F1217" s="42" t="s">
        <v>560</v>
      </c>
      <c r="G1217" s="28" t="str">
        <f t="shared" si="19"/>
        <v/>
      </c>
      <c r="H1217" s="29"/>
      <c r="I1217" s="30"/>
      <c r="J1217" s="155">
        <v>0</v>
      </c>
    </row>
    <row r="1218" spans="1:10" ht="15" hidden="1" thickBot="1" x14ac:dyDescent="0.35">
      <c r="A1218" s="229"/>
      <c r="B1218" s="224"/>
      <c r="C1218" s="32"/>
      <c r="D1218" s="32"/>
      <c r="E1218" s="33"/>
      <c r="F1218" s="43" t="s">
        <v>560</v>
      </c>
      <c r="G1218" s="31" t="str">
        <f t="shared" si="19"/>
        <v/>
      </c>
      <c r="H1218" s="35"/>
      <c r="I1218" s="31"/>
      <c r="J1218" s="155">
        <v>0</v>
      </c>
    </row>
    <row r="1219" spans="1:10" ht="27" hidden="1" thickBot="1" x14ac:dyDescent="0.35">
      <c r="A1219" s="229"/>
      <c r="B1219" s="224"/>
      <c r="C1219" s="172" t="s">
        <v>409</v>
      </c>
      <c r="D1219" s="47" t="s">
        <v>147</v>
      </c>
      <c r="E1219" s="37">
        <v>1</v>
      </c>
      <c r="F1219" s="34" t="s">
        <v>560</v>
      </c>
      <c r="G1219" s="34" t="str">
        <f t="shared" si="19"/>
        <v/>
      </c>
      <c r="H1219" s="39">
        <f>SUM(G1219:G1222)</f>
        <v>28.143729499999999</v>
      </c>
      <c r="I1219" s="40"/>
      <c r="J1219" s="155">
        <v>0</v>
      </c>
    </row>
    <row r="1220" spans="1:10" ht="15" hidden="1" thickBot="1" x14ac:dyDescent="0.35">
      <c r="A1220" s="229"/>
      <c r="B1220" s="224"/>
      <c r="C1220" s="36" t="s">
        <v>410</v>
      </c>
      <c r="D1220" s="50" t="s">
        <v>292</v>
      </c>
      <c r="E1220" s="37">
        <v>1.9E-2</v>
      </c>
      <c r="F1220" s="34">
        <v>11.4665</v>
      </c>
      <c r="G1220" s="34">
        <f t="shared" si="19"/>
        <v>0.21786349999999999</v>
      </c>
      <c r="H1220" s="35"/>
      <c r="I1220" s="31"/>
      <c r="J1220" s="155">
        <v>0</v>
      </c>
    </row>
    <row r="1221" spans="1:10" ht="15" hidden="1" thickBot="1" x14ac:dyDescent="0.35">
      <c r="A1221" s="229"/>
      <c r="B1221" s="224"/>
      <c r="C1221" s="36" t="s">
        <v>108</v>
      </c>
      <c r="D1221" s="47" t="s">
        <v>12</v>
      </c>
      <c r="E1221" s="37">
        <v>0.78900000000000003</v>
      </c>
      <c r="F1221" s="31">
        <v>15.4955</v>
      </c>
      <c r="G1221" s="34">
        <f t="shared" si="19"/>
        <v>12.2259495</v>
      </c>
      <c r="H1221" s="35"/>
      <c r="I1221" s="31"/>
      <c r="J1221" s="155">
        <v>0</v>
      </c>
    </row>
    <row r="1222" spans="1:10" ht="15" hidden="1" thickBot="1" x14ac:dyDescent="0.35">
      <c r="A1222" s="229"/>
      <c r="B1222" s="224"/>
      <c r="C1222" s="36" t="s">
        <v>39</v>
      </c>
      <c r="D1222" s="47" t="s">
        <v>12</v>
      </c>
      <c r="E1222" s="37">
        <v>0.78900000000000003</v>
      </c>
      <c r="F1222" s="31">
        <v>19.898499999999999</v>
      </c>
      <c r="G1222" s="34">
        <f t="shared" si="19"/>
        <v>15.699916499999999</v>
      </c>
      <c r="H1222" s="35"/>
      <c r="I1222" s="31"/>
      <c r="J1222" s="155">
        <v>0</v>
      </c>
    </row>
    <row r="1223" spans="1:10" ht="15" hidden="1" thickBot="1" x14ac:dyDescent="0.35">
      <c r="A1223" s="230"/>
      <c r="B1223" s="225"/>
      <c r="C1223" s="36"/>
      <c r="D1223" s="36"/>
      <c r="E1223" s="37"/>
      <c r="F1223" s="31" t="s">
        <v>560</v>
      </c>
      <c r="G1223" s="31" t="str">
        <f t="shared" si="19"/>
        <v/>
      </c>
      <c r="H1223" s="35"/>
      <c r="I1223" s="31"/>
      <c r="J1223" s="155">
        <v>0</v>
      </c>
    </row>
    <row r="1224" spans="1:10" ht="15" hidden="1" thickBot="1" x14ac:dyDescent="0.35">
      <c r="A1224" s="226" t="s">
        <v>411</v>
      </c>
      <c r="B1224" s="223" t="e">
        <f>INDEX(#REF!,MATCH(Composições!A1224,#REF!,0),2)</f>
        <v>#REF!</v>
      </c>
      <c r="C1224" s="41"/>
      <c r="D1224" s="26" t="e">
        <f>TRIM(INDEX(#REF!,MATCH(Composições!A1224,#REF!,0),1))</f>
        <v>#REF!</v>
      </c>
      <c r="E1224" s="27"/>
      <c r="F1224" s="42" t="s">
        <v>560</v>
      </c>
      <c r="G1224" s="28" t="str">
        <f t="shared" si="19"/>
        <v/>
      </c>
      <c r="H1224" s="29"/>
      <c r="I1224" s="30"/>
      <c r="J1224" s="155">
        <v>0</v>
      </c>
    </row>
    <row r="1225" spans="1:10" ht="15" hidden="1" thickBot="1" x14ac:dyDescent="0.35">
      <c r="A1225" s="229"/>
      <c r="B1225" s="224"/>
      <c r="C1225" s="32"/>
      <c r="D1225" s="32"/>
      <c r="E1225" s="33"/>
      <c r="F1225" s="43" t="s">
        <v>560</v>
      </c>
      <c r="G1225" s="31" t="str">
        <f t="shared" si="19"/>
        <v/>
      </c>
      <c r="H1225" s="35"/>
      <c r="I1225" s="31"/>
      <c r="J1225" s="155">
        <v>0</v>
      </c>
    </row>
    <row r="1226" spans="1:10" ht="15" hidden="1" thickBot="1" x14ac:dyDescent="0.35">
      <c r="A1226" s="229"/>
      <c r="B1226" s="224"/>
      <c r="C1226" s="172" t="s">
        <v>412</v>
      </c>
      <c r="D1226" s="47" t="s">
        <v>292</v>
      </c>
      <c r="E1226" s="37">
        <v>1</v>
      </c>
      <c r="F1226" s="34">
        <v>199.32499999999999</v>
      </c>
      <c r="G1226" s="34">
        <f t="shared" si="19"/>
        <v>199.32499999999999</v>
      </c>
      <c r="H1226" s="39">
        <f>SUM(G1226:G1229)</f>
        <v>227.46872949999999</v>
      </c>
      <c r="I1226" s="40"/>
      <c r="J1226" s="155">
        <v>0</v>
      </c>
    </row>
    <row r="1227" spans="1:10" ht="15" hidden="1" thickBot="1" x14ac:dyDescent="0.35">
      <c r="A1227" s="229"/>
      <c r="B1227" s="224"/>
      <c r="C1227" s="36" t="s">
        <v>410</v>
      </c>
      <c r="D1227" s="50" t="s">
        <v>292</v>
      </c>
      <c r="E1227" s="37">
        <v>1.9E-2</v>
      </c>
      <c r="F1227" s="34">
        <v>11.4665</v>
      </c>
      <c r="G1227" s="34">
        <f t="shared" si="19"/>
        <v>0.21786349999999999</v>
      </c>
      <c r="H1227" s="35"/>
      <c r="I1227" s="31"/>
      <c r="J1227" s="155">
        <v>0</v>
      </c>
    </row>
    <row r="1228" spans="1:10" ht="15" hidden="1" thickBot="1" x14ac:dyDescent="0.35">
      <c r="A1228" s="229"/>
      <c r="B1228" s="224"/>
      <c r="C1228" s="36" t="s">
        <v>108</v>
      </c>
      <c r="D1228" s="47" t="s">
        <v>12</v>
      </c>
      <c r="E1228" s="37">
        <v>0.78900000000000003</v>
      </c>
      <c r="F1228" s="31">
        <v>15.4955</v>
      </c>
      <c r="G1228" s="34">
        <f t="shared" si="19"/>
        <v>12.2259495</v>
      </c>
      <c r="H1228" s="35"/>
      <c r="I1228" s="31"/>
      <c r="J1228" s="155">
        <v>0</v>
      </c>
    </row>
    <row r="1229" spans="1:10" ht="15" hidden="1" thickBot="1" x14ac:dyDescent="0.35">
      <c r="A1229" s="229"/>
      <c r="B1229" s="224"/>
      <c r="C1229" s="36" t="s">
        <v>39</v>
      </c>
      <c r="D1229" s="47" t="s">
        <v>12</v>
      </c>
      <c r="E1229" s="37">
        <v>0.78900000000000003</v>
      </c>
      <c r="F1229" s="31">
        <v>19.898499999999999</v>
      </c>
      <c r="G1229" s="34">
        <f t="shared" si="19"/>
        <v>15.699916499999999</v>
      </c>
      <c r="H1229" s="35"/>
      <c r="I1229" s="31"/>
      <c r="J1229" s="155">
        <v>0</v>
      </c>
    </row>
    <row r="1230" spans="1:10" ht="15" hidden="1" thickBot="1" x14ac:dyDescent="0.35">
      <c r="A1230" s="230"/>
      <c r="B1230" s="225"/>
      <c r="C1230" s="36"/>
      <c r="D1230" s="36"/>
      <c r="E1230" s="37"/>
      <c r="F1230" s="31" t="s">
        <v>560</v>
      </c>
      <c r="G1230" s="31" t="str">
        <f t="shared" si="19"/>
        <v/>
      </c>
      <c r="H1230" s="35"/>
      <c r="I1230" s="31"/>
      <c r="J1230" s="155">
        <v>0</v>
      </c>
    </row>
    <row r="1231" spans="1:10" ht="15" hidden="1" thickBot="1" x14ac:dyDescent="0.35">
      <c r="A1231" s="226" t="s">
        <v>413</v>
      </c>
      <c r="B1231" s="223" t="e">
        <f>INDEX(#REF!,MATCH(Composições!A1231,#REF!,0),2)</f>
        <v>#REF!</v>
      </c>
      <c r="C1231" s="41"/>
      <c r="D1231" s="26" t="e">
        <f>TRIM(INDEX(#REF!,MATCH(Composições!A1231,#REF!,0),1))</f>
        <v>#REF!</v>
      </c>
      <c r="E1231" s="27"/>
      <c r="F1231" s="42" t="s">
        <v>560</v>
      </c>
      <c r="G1231" s="28" t="str">
        <f t="shared" si="19"/>
        <v/>
      </c>
      <c r="H1231" s="29"/>
      <c r="I1231" s="30"/>
      <c r="J1231" s="155">
        <v>0</v>
      </c>
    </row>
    <row r="1232" spans="1:10" ht="15" hidden="1" thickBot="1" x14ac:dyDescent="0.35">
      <c r="A1232" s="229"/>
      <c r="B1232" s="224"/>
      <c r="C1232" s="32"/>
      <c r="D1232" s="32"/>
      <c r="E1232" s="33"/>
      <c r="F1232" s="43" t="s">
        <v>560</v>
      </c>
      <c r="G1232" s="31" t="str">
        <f t="shared" si="19"/>
        <v/>
      </c>
      <c r="H1232" s="35"/>
      <c r="I1232" s="31"/>
      <c r="J1232" s="155">
        <v>0</v>
      </c>
    </row>
    <row r="1233" spans="1:10" ht="27" hidden="1" thickBot="1" x14ac:dyDescent="0.35">
      <c r="A1233" s="229"/>
      <c r="B1233" s="224"/>
      <c r="C1233" s="172" t="s">
        <v>414</v>
      </c>
      <c r="D1233" s="47" t="s">
        <v>147</v>
      </c>
      <c r="E1233" s="37">
        <v>1</v>
      </c>
      <c r="F1233" s="34" t="s">
        <v>560</v>
      </c>
      <c r="G1233" s="34" t="str">
        <f t="shared" si="19"/>
        <v/>
      </c>
      <c r="H1233" s="39">
        <f>SUM(G1233:G1236)</f>
        <v>28.143729499999999</v>
      </c>
      <c r="I1233" s="40"/>
      <c r="J1233" s="155">
        <v>0</v>
      </c>
    </row>
    <row r="1234" spans="1:10" ht="15" hidden="1" thickBot="1" x14ac:dyDescent="0.35">
      <c r="A1234" s="229"/>
      <c r="B1234" s="224"/>
      <c r="C1234" s="36" t="s">
        <v>410</v>
      </c>
      <c r="D1234" s="50" t="s">
        <v>292</v>
      </c>
      <c r="E1234" s="37">
        <v>1.9E-2</v>
      </c>
      <c r="F1234" s="34">
        <v>11.4665</v>
      </c>
      <c r="G1234" s="34">
        <f t="shared" ref="G1234:G1297" si="20">IF(ISNUMBER(F1234),E1234*F1234,"")</f>
        <v>0.21786349999999999</v>
      </c>
      <c r="H1234" s="35"/>
      <c r="I1234" s="31"/>
      <c r="J1234" s="155">
        <v>0</v>
      </c>
    </row>
    <row r="1235" spans="1:10" ht="15" hidden="1" thickBot="1" x14ac:dyDescent="0.35">
      <c r="A1235" s="229"/>
      <c r="B1235" s="224"/>
      <c r="C1235" s="36" t="s">
        <v>108</v>
      </c>
      <c r="D1235" s="47" t="s">
        <v>12</v>
      </c>
      <c r="E1235" s="37">
        <v>0.78900000000000003</v>
      </c>
      <c r="F1235" s="31">
        <v>15.4955</v>
      </c>
      <c r="G1235" s="34">
        <f t="shared" si="20"/>
        <v>12.2259495</v>
      </c>
      <c r="H1235" s="35"/>
      <c r="I1235" s="31"/>
      <c r="J1235" s="155">
        <v>0</v>
      </c>
    </row>
    <row r="1236" spans="1:10" ht="15" hidden="1" thickBot="1" x14ac:dyDescent="0.35">
      <c r="A1236" s="229"/>
      <c r="B1236" s="224"/>
      <c r="C1236" s="36" t="s">
        <v>39</v>
      </c>
      <c r="D1236" s="47" t="s">
        <v>12</v>
      </c>
      <c r="E1236" s="37">
        <v>0.78900000000000003</v>
      </c>
      <c r="F1236" s="31">
        <v>19.898499999999999</v>
      </c>
      <c r="G1236" s="34">
        <f t="shared" si="20"/>
        <v>15.699916499999999</v>
      </c>
      <c r="H1236" s="35"/>
      <c r="I1236" s="31"/>
      <c r="J1236" s="155">
        <v>0</v>
      </c>
    </row>
    <row r="1237" spans="1:10" ht="15" hidden="1" thickBot="1" x14ac:dyDescent="0.35">
      <c r="A1237" s="230"/>
      <c r="B1237" s="225"/>
      <c r="C1237" s="36"/>
      <c r="D1237" s="36"/>
      <c r="E1237" s="37"/>
      <c r="F1237" s="31" t="s">
        <v>560</v>
      </c>
      <c r="G1237" s="31" t="str">
        <f t="shared" si="20"/>
        <v/>
      </c>
      <c r="H1237" s="35"/>
      <c r="I1237" s="31"/>
      <c r="J1237" s="155">
        <v>0</v>
      </c>
    </row>
    <row r="1238" spans="1:10" ht="15" hidden="1" thickBot="1" x14ac:dyDescent="0.35">
      <c r="A1238" s="226" t="s">
        <v>415</v>
      </c>
      <c r="B1238" s="223" t="e">
        <f>INDEX(#REF!,MATCH(Composições!A1238,#REF!,0),2)</f>
        <v>#REF!</v>
      </c>
      <c r="C1238" s="41"/>
      <c r="D1238" s="26" t="e">
        <f>TRIM(INDEX(#REF!,MATCH(Composições!A1238,#REF!,0),1))</f>
        <v>#REF!</v>
      </c>
      <c r="E1238" s="27"/>
      <c r="F1238" s="42" t="s">
        <v>560</v>
      </c>
      <c r="G1238" s="28" t="str">
        <f t="shared" si="20"/>
        <v/>
      </c>
      <c r="H1238" s="29"/>
      <c r="I1238" s="30"/>
      <c r="J1238" s="155">
        <v>0</v>
      </c>
    </row>
    <row r="1239" spans="1:10" ht="15" hidden="1" thickBot="1" x14ac:dyDescent="0.35">
      <c r="A1239" s="229"/>
      <c r="B1239" s="224"/>
      <c r="C1239" s="32"/>
      <c r="D1239" s="32"/>
      <c r="E1239" s="33"/>
      <c r="F1239" s="43" t="s">
        <v>560</v>
      </c>
      <c r="G1239" s="31" t="str">
        <f t="shared" si="20"/>
        <v/>
      </c>
      <c r="H1239" s="35"/>
      <c r="I1239" s="31"/>
      <c r="J1239" s="155">
        <v>0</v>
      </c>
    </row>
    <row r="1240" spans="1:10" ht="15" hidden="1" thickBot="1" x14ac:dyDescent="0.35">
      <c r="A1240" s="229"/>
      <c r="B1240" s="224"/>
      <c r="C1240" s="172" t="s">
        <v>416</v>
      </c>
      <c r="D1240" s="47" t="s">
        <v>292</v>
      </c>
      <c r="E1240" s="37">
        <v>1</v>
      </c>
      <c r="F1240" s="34">
        <v>161.47450000000001</v>
      </c>
      <c r="G1240" s="34">
        <f t="shared" si="20"/>
        <v>161.47450000000001</v>
      </c>
      <c r="H1240" s="39">
        <f>SUM(G1240:G1243)</f>
        <v>189.61822950000001</v>
      </c>
      <c r="I1240" s="40"/>
      <c r="J1240" s="155">
        <v>0</v>
      </c>
    </row>
    <row r="1241" spans="1:10" ht="15" hidden="1" thickBot="1" x14ac:dyDescent="0.35">
      <c r="A1241" s="229"/>
      <c r="B1241" s="224"/>
      <c r="C1241" s="36" t="s">
        <v>410</v>
      </c>
      <c r="D1241" s="50" t="s">
        <v>292</v>
      </c>
      <c r="E1241" s="37">
        <v>1.9E-2</v>
      </c>
      <c r="F1241" s="34">
        <v>11.4665</v>
      </c>
      <c r="G1241" s="34">
        <f t="shared" si="20"/>
        <v>0.21786349999999999</v>
      </c>
      <c r="H1241" s="35"/>
      <c r="I1241" s="31"/>
      <c r="J1241" s="155">
        <v>0</v>
      </c>
    </row>
    <row r="1242" spans="1:10" ht="15" hidden="1" thickBot="1" x14ac:dyDescent="0.35">
      <c r="A1242" s="229"/>
      <c r="B1242" s="224"/>
      <c r="C1242" s="36" t="s">
        <v>108</v>
      </c>
      <c r="D1242" s="47" t="s">
        <v>12</v>
      </c>
      <c r="E1242" s="37">
        <v>0.78900000000000003</v>
      </c>
      <c r="F1242" s="31">
        <v>15.4955</v>
      </c>
      <c r="G1242" s="34">
        <f t="shared" si="20"/>
        <v>12.2259495</v>
      </c>
      <c r="H1242" s="35"/>
      <c r="I1242" s="31"/>
      <c r="J1242" s="155">
        <v>0</v>
      </c>
    </row>
    <row r="1243" spans="1:10" ht="15" hidden="1" thickBot="1" x14ac:dyDescent="0.35">
      <c r="A1243" s="229"/>
      <c r="B1243" s="224"/>
      <c r="C1243" s="36" t="s">
        <v>39</v>
      </c>
      <c r="D1243" s="47" t="s">
        <v>12</v>
      </c>
      <c r="E1243" s="37">
        <v>0.78900000000000003</v>
      </c>
      <c r="F1243" s="31">
        <v>19.898499999999999</v>
      </c>
      <c r="G1243" s="34">
        <f t="shared" si="20"/>
        <v>15.699916499999999</v>
      </c>
      <c r="H1243" s="35"/>
      <c r="I1243" s="31"/>
      <c r="J1243" s="155">
        <v>0</v>
      </c>
    </row>
    <row r="1244" spans="1:10" ht="15" hidden="1" thickBot="1" x14ac:dyDescent="0.35">
      <c r="A1244" s="230"/>
      <c r="B1244" s="225"/>
      <c r="C1244" s="36"/>
      <c r="D1244" s="36"/>
      <c r="E1244" s="37"/>
      <c r="F1244" s="31" t="s">
        <v>560</v>
      </c>
      <c r="G1244" s="31" t="str">
        <f t="shared" si="20"/>
        <v/>
      </c>
      <c r="H1244" s="35"/>
      <c r="I1244" s="31"/>
      <c r="J1244" s="155">
        <v>0</v>
      </c>
    </row>
    <row r="1245" spans="1:10" ht="15" hidden="1" thickBot="1" x14ac:dyDescent="0.35">
      <c r="A1245" s="226" t="s">
        <v>417</v>
      </c>
      <c r="B1245" s="223" t="e">
        <f>INDEX(#REF!,MATCH(Composições!A1245,#REF!,0),2)</f>
        <v>#REF!</v>
      </c>
      <c r="C1245" s="41"/>
      <c r="D1245" s="26" t="e">
        <f>TRIM(INDEX(#REF!,MATCH(Composições!A1245,#REF!,0),1))</f>
        <v>#REF!</v>
      </c>
      <c r="E1245" s="27"/>
      <c r="F1245" s="42" t="s">
        <v>560</v>
      </c>
      <c r="G1245" s="28" t="str">
        <f t="shared" si="20"/>
        <v/>
      </c>
      <c r="H1245" s="29"/>
      <c r="I1245" s="30"/>
      <c r="J1245" s="155">
        <v>0</v>
      </c>
    </row>
    <row r="1246" spans="1:10" ht="15" hidden="1" thickBot="1" x14ac:dyDescent="0.35">
      <c r="A1246" s="229"/>
      <c r="B1246" s="224"/>
      <c r="C1246" s="32"/>
      <c r="D1246" s="32"/>
      <c r="E1246" s="33"/>
      <c r="F1246" s="43" t="s">
        <v>560</v>
      </c>
      <c r="G1246" s="31" t="str">
        <f t="shared" si="20"/>
        <v/>
      </c>
      <c r="H1246" s="35"/>
      <c r="I1246" s="31"/>
      <c r="J1246" s="155">
        <v>0</v>
      </c>
    </row>
    <row r="1247" spans="1:10" ht="15" hidden="1" thickBot="1" x14ac:dyDescent="0.35">
      <c r="A1247" s="229"/>
      <c r="B1247" s="224"/>
      <c r="C1247" s="36" t="s">
        <v>418</v>
      </c>
      <c r="D1247" s="47" t="s">
        <v>292</v>
      </c>
      <c r="E1247" s="37">
        <v>1</v>
      </c>
      <c r="F1247" s="34">
        <v>27.497499999999999</v>
      </c>
      <c r="G1247" s="34">
        <f t="shared" si="20"/>
        <v>27.497499999999999</v>
      </c>
      <c r="H1247" s="39">
        <f>SUM(G1247:G1250)</f>
        <v>31.929440799999998</v>
      </c>
      <c r="I1247" s="40"/>
      <c r="J1247" s="155">
        <v>0</v>
      </c>
    </row>
    <row r="1248" spans="1:10" ht="15" hidden="1" thickBot="1" x14ac:dyDescent="0.35">
      <c r="A1248" s="229"/>
      <c r="B1248" s="224"/>
      <c r="C1248" s="36" t="s">
        <v>368</v>
      </c>
      <c r="D1248" s="47" t="s">
        <v>292</v>
      </c>
      <c r="E1248" s="37">
        <v>4.8000000000000001E-2</v>
      </c>
      <c r="F1248" s="34">
        <v>3.1110000000000002</v>
      </c>
      <c r="G1248" s="34">
        <f t="shared" si="20"/>
        <v>0.14932800000000002</v>
      </c>
      <c r="H1248" s="35"/>
      <c r="I1248" s="31"/>
      <c r="J1248" s="155">
        <v>0</v>
      </c>
    </row>
    <row r="1249" spans="1:10" ht="15" hidden="1" thickBot="1" x14ac:dyDescent="0.35">
      <c r="A1249" s="229"/>
      <c r="B1249" s="224"/>
      <c r="C1249" s="36" t="s">
        <v>39</v>
      </c>
      <c r="D1249" s="47" t="s">
        <v>12</v>
      </c>
      <c r="E1249" s="37">
        <v>0.17399999999999999</v>
      </c>
      <c r="F1249" s="31">
        <v>19.898499999999999</v>
      </c>
      <c r="G1249" s="34">
        <f t="shared" si="20"/>
        <v>3.4623389999999996</v>
      </c>
      <c r="H1249" s="35"/>
      <c r="I1249" s="31"/>
      <c r="J1249" s="155">
        <v>0</v>
      </c>
    </row>
    <row r="1250" spans="1:10" ht="15" hidden="1" thickBot="1" x14ac:dyDescent="0.35">
      <c r="A1250" s="229"/>
      <c r="B1250" s="224"/>
      <c r="C1250" s="36" t="s">
        <v>23</v>
      </c>
      <c r="D1250" s="47" t="s">
        <v>12</v>
      </c>
      <c r="E1250" s="37">
        <v>5.4800000000000001E-2</v>
      </c>
      <c r="F1250" s="31">
        <v>14.968499999999999</v>
      </c>
      <c r="G1250" s="34">
        <f t="shared" si="20"/>
        <v>0.82027379999999994</v>
      </c>
      <c r="H1250" s="35"/>
      <c r="I1250" s="31"/>
      <c r="J1250" s="155">
        <v>0</v>
      </c>
    </row>
    <row r="1251" spans="1:10" ht="15" hidden="1" thickBot="1" x14ac:dyDescent="0.35">
      <c r="A1251" s="230"/>
      <c r="B1251" s="225"/>
      <c r="C1251" s="36"/>
      <c r="D1251" s="36"/>
      <c r="E1251" s="37"/>
      <c r="F1251" s="31" t="s">
        <v>560</v>
      </c>
      <c r="G1251" s="31" t="str">
        <f t="shared" si="20"/>
        <v/>
      </c>
      <c r="H1251" s="35"/>
      <c r="I1251" s="31"/>
      <c r="J1251" s="155">
        <v>0</v>
      </c>
    </row>
    <row r="1252" spans="1:10" ht="15" hidden="1" thickBot="1" x14ac:dyDescent="0.35">
      <c r="A1252" s="226" t="s">
        <v>419</v>
      </c>
      <c r="B1252" s="223" t="e">
        <f>INDEX(#REF!,MATCH(Composições!A1252,#REF!,0),2)</f>
        <v>#REF!</v>
      </c>
      <c r="C1252" s="41"/>
      <c r="D1252" s="26" t="e">
        <f>TRIM(INDEX(#REF!,MATCH(Composições!A1252,#REF!,0),1))</f>
        <v>#REF!</v>
      </c>
      <c r="E1252" s="27"/>
      <c r="F1252" s="42" t="s">
        <v>560</v>
      </c>
      <c r="G1252" s="28" t="str">
        <f t="shared" si="20"/>
        <v/>
      </c>
      <c r="H1252" s="29"/>
      <c r="I1252" s="30"/>
      <c r="J1252" s="155">
        <v>0</v>
      </c>
    </row>
    <row r="1253" spans="1:10" ht="15" hidden="1" thickBot="1" x14ac:dyDescent="0.35">
      <c r="A1253" s="229"/>
      <c r="B1253" s="224"/>
      <c r="C1253" s="32"/>
      <c r="D1253" s="32"/>
      <c r="E1253" s="33"/>
      <c r="F1253" s="43" t="s">
        <v>560</v>
      </c>
      <c r="G1253" s="31" t="str">
        <f t="shared" si="20"/>
        <v/>
      </c>
      <c r="H1253" s="35"/>
      <c r="I1253" s="31"/>
      <c r="J1253" s="155">
        <v>0</v>
      </c>
    </row>
    <row r="1254" spans="1:10" ht="15" hidden="1" thickBot="1" x14ac:dyDescent="0.35">
      <c r="A1254" s="229"/>
      <c r="B1254" s="224"/>
      <c r="C1254" s="36" t="s">
        <v>368</v>
      </c>
      <c r="D1254" s="47" t="s">
        <v>292</v>
      </c>
      <c r="E1254" s="37">
        <v>3.32E-2</v>
      </c>
      <c r="F1254" s="34">
        <v>3.1110000000000002</v>
      </c>
      <c r="G1254" s="34">
        <f t="shared" si="20"/>
        <v>0.10328520000000001</v>
      </c>
      <c r="H1254" s="39">
        <f>SUM(G1254:G1257)</f>
        <v>22.337058199999998</v>
      </c>
      <c r="I1254" s="40"/>
      <c r="J1254" s="155">
        <v>0</v>
      </c>
    </row>
    <row r="1255" spans="1:10" ht="15" hidden="1" thickBot="1" x14ac:dyDescent="0.35">
      <c r="A1255" s="229"/>
      <c r="B1255" s="224"/>
      <c r="C1255" s="36" t="s">
        <v>420</v>
      </c>
      <c r="D1255" s="36" t="s">
        <v>20</v>
      </c>
      <c r="E1255" s="37">
        <v>1</v>
      </c>
      <c r="F1255" s="34">
        <v>19.201499999999999</v>
      </c>
      <c r="G1255" s="34">
        <f t="shared" si="20"/>
        <v>19.201499999999999</v>
      </c>
      <c r="H1255" s="35"/>
      <c r="I1255" s="31"/>
      <c r="J1255" s="155">
        <v>0</v>
      </c>
    </row>
    <row r="1256" spans="1:10" ht="15" hidden="1" thickBot="1" x14ac:dyDescent="0.35">
      <c r="A1256" s="229"/>
      <c r="B1256" s="224"/>
      <c r="C1256" s="36" t="s">
        <v>39</v>
      </c>
      <c r="D1256" s="47" t="s">
        <v>12</v>
      </c>
      <c r="E1256" s="37">
        <v>0.1232</v>
      </c>
      <c r="F1256" s="31">
        <v>19.898499999999999</v>
      </c>
      <c r="G1256" s="34">
        <f t="shared" si="20"/>
        <v>2.4514952000000001</v>
      </c>
      <c r="H1256" s="35"/>
      <c r="I1256" s="31"/>
      <c r="J1256" s="155">
        <v>0</v>
      </c>
    </row>
    <row r="1257" spans="1:10" ht="15" hidden="1" thickBot="1" x14ac:dyDescent="0.35">
      <c r="A1257" s="229"/>
      <c r="B1257" s="224"/>
      <c r="C1257" s="36" t="s">
        <v>23</v>
      </c>
      <c r="D1257" s="36" t="s">
        <v>12</v>
      </c>
      <c r="E1257" s="37">
        <v>3.8800000000000001E-2</v>
      </c>
      <c r="F1257" s="31">
        <v>14.968499999999999</v>
      </c>
      <c r="G1257" s="34">
        <f t="shared" si="20"/>
        <v>0.58077780000000001</v>
      </c>
      <c r="H1257" s="35"/>
      <c r="I1257" s="31"/>
      <c r="J1257" s="155">
        <v>0</v>
      </c>
    </row>
    <row r="1258" spans="1:10" ht="15" hidden="1" thickBot="1" x14ac:dyDescent="0.35">
      <c r="A1258" s="230"/>
      <c r="B1258" s="225"/>
      <c r="C1258" s="36"/>
      <c r="D1258" s="36"/>
      <c r="E1258" s="37"/>
      <c r="F1258" s="31" t="s">
        <v>560</v>
      </c>
      <c r="G1258" s="31" t="str">
        <f t="shared" si="20"/>
        <v/>
      </c>
      <c r="H1258" s="35"/>
      <c r="I1258" s="31"/>
      <c r="J1258" s="155">
        <v>0</v>
      </c>
    </row>
    <row r="1259" spans="1:10" ht="15" hidden="1" thickBot="1" x14ac:dyDescent="0.35">
      <c r="A1259" s="226" t="s">
        <v>421</v>
      </c>
      <c r="B1259" s="223" t="e">
        <f>INDEX(#REF!,MATCH(Composições!A1259,#REF!,0),2)</f>
        <v>#REF!</v>
      </c>
      <c r="C1259" s="41"/>
      <c r="D1259" s="26" t="e">
        <f>TRIM(INDEX(#REF!,MATCH(Composições!A1259,#REF!,0),1))</f>
        <v>#REF!</v>
      </c>
      <c r="E1259" s="27"/>
      <c r="F1259" s="42" t="s">
        <v>560</v>
      </c>
      <c r="G1259" s="28" t="str">
        <f t="shared" si="20"/>
        <v/>
      </c>
      <c r="H1259" s="29"/>
      <c r="I1259" s="30"/>
      <c r="J1259" s="155">
        <v>0</v>
      </c>
    </row>
    <row r="1260" spans="1:10" ht="15" hidden="1" thickBot="1" x14ac:dyDescent="0.35">
      <c r="A1260" s="229"/>
      <c r="B1260" s="224"/>
      <c r="C1260" s="32"/>
      <c r="D1260" s="32"/>
      <c r="E1260" s="33"/>
      <c r="F1260" s="43" t="s">
        <v>560</v>
      </c>
      <c r="G1260" s="31" t="str">
        <f t="shared" si="20"/>
        <v/>
      </c>
      <c r="H1260" s="35"/>
      <c r="I1260" s="31"/>
      <c r="J1260" s="155">
        <v>0</v>
      </c>
    </row>
    <row r="1261" spans="1:10" ht="27" hidden="1" thickBot="1" x14ac:dyDescent="0.35">
      <c r="A1261" s="229"/>
      <c r="B1261" s="224"/>
      <c r="C1261" s="36" t="s">
        <v>422</v>
      </c>
      <c r="D1261" s="47" t="s">
        <v>292</v>
      </c>
      <c r="E1261" s="37">
        <v>1</v>
      </c>
      <c r="F1261" s="34">
        <v>171.58100000000002</v>
      </c>
      <c r="G1261" s="31">
        <f t="shared" si="20"/>
        <v>171.58100000000002</v>
      </c>
      <c r="H1261" s="39">
        <f>SUM(G1261:G1264)</f>
        <v>199.72472950000002</v>
      </c>
      <c r="I1261" s="40"/>
      <c r="J1261" s="155">
        <v>0</v>
      </c>
    </row>
    <row r="1262" spans="1:10" ht="15" hidden="1" thickBot="1" x14ac:dyDescent="0.35">
      <c r="A1262" s="229"/>
      <c r="B1262" s="224"/>
      <c r="C1262" s="36" t="s">
        <v>410</v>
      </c>
      <c r="D1262" s="50" t="s">
        <v>292</v>
      </c>
      <c r="E1262" s="37">
        <v>1.9E-2</v>
      </c>
      <c r="F1262" s="34">
        <v>11.4665</v>
      </c>
      <c r="G1262" s="31">
        <f t="shared" si="20"/>
        <v>0.21786349999999999</v>
      </c>
      <c r="H1262" s="35"/>
      <c r="I1262" s="31"/>
      <c r="J1262" s="155">
        <v>0</v>
      </c>
    </row>
    <row r="1263" spans="1:10" ht="15" hidden="1" thickBot="1" x14ac:dyDescent="0.35">
      <c r="A1263" s="229"/>
      <c r="B1263" s="224"/>
      <c r="C1263" s="36" t="s">
        <v>108</v>
      </c>
      <c r="D1263" s="47" t="s">
        <v>12</v>
      </c>
      <c r="E1263" s="37">
        <v>0.78900000000000003</v>
      </c>
      <c r="F1263" s="31">
        <v>15.4955</v>
      </c>
      <c r="G1263" s="31">
        <f t="shared" si="20"/>
        <v>12.2259495</v>
      </c>
      <c r="H1263" s="35"/>
      <c r="I1263" s="31"/>
      <c r="J1263" s="155">
        <v>0</v>
      </c>
    </row>
    <row r="1264" spans="1:10" ht="15" hidden="1" thickBot="1" x14ac:dyDescent="0.35">
      <c r="A1264" s="229"/>
      <c r="B1264" s="224"/>
      <c r="C1264" s="36" t="s">
        <v>39</v>
      </c>
      <c r="D1264" s="47" t="s">
        <v>12</v>
      </c>
      <c r="E1264" s="37">
        <v>0.78900000000000003</v>
      </c>
      <c r="F1264" s="31">
        <v>19.898499999999999</v>
      </c>
      <c r="G1264" s="34">
        <f t="shared" si="20"/>
        <v>15.699916499999999</v>
      </c>
      <c r="H1264" s="35"/>
      <c r="I1264" s="31"/>
      <c r="J1264" s="155">
        <v>0</v>
      </c>
    </row>
    <row r="1265" spans="1:10" ht="15" hidden="1" thickBot="1" x14ac:dyDescent="0.35">
      <c r="A1265" s="230"/>
      <c r="B1265" s="225"/>
      <c r="C1265" s="36"/>
      <c r="D1265" s="36"/>
      <c r="E1265" s="37"/>
      <c r="F1265" s="31" t="s">
        <v>560</v>
      </c>
      <c r="G1265" s="31" t="str">
        <f t="shared" si="20"/>
        <v/>
      </c>
      <c r="H1265" s="35"/>
      <c r="I1265" s="31"/>
      <c r="J1265" s="155">
        <v>0</v>
      </c>
    </row>
    <row r="1266" spans="1:10" ht="15" hidden="1" thickBot="1" x14ac:dyDescent="0.35">
      <c r="A1266" s="226" t="s">
        <v>423</v>
      </c>
      <c r="B1266" s="223" t="e">
        <f>INDEX(#REF!,MATCH(Composições!A1266,#REF!,0),2)</f>
        <v>#REF!</v>
      </c>
      <c r="C1266" s="41"/>
      <c r="D1266" s="26" t="e">
        <f>TRIM(INDEX(#REF!,MATCH(Composições!A1266,#REF!,0),1))</f>
        <v>#REF!</v>
      </c>
      <c r="E1266" s="27"/>
      <c r="F1266" s="42" t="s">
        <v>560</v>
      </c>
      <c r="G1266" s="28" t="str">
        <f t="shared" si="20"/>
        <v/>
      </c>
      <c r="H1266" s="29"/>
      <c r="I1266" s="30"/>
      <c r="J1266" s="155">
        <v>0</v>
      </c>
    </row>
    <row r="1267" spans="1:10" ht="15" hidden="1" thickBot="1" x14ac:dyDescent="0.35">
      <c r="A1267" s="229"/>
      <c r="B1267" s="224"/>
      <c r="C1267" s="32"/>
      <c r="D1267" s="32"/>
      <c r="E1267" s="33"/>
      <c r="F1267" s="43" t="s">
        <v>560</v>
      </c>
      <c r="G1267" s="31" t="str">
        <f t="shared" si="20"/>
        <v/>
      </c>
      <c r="H1267" s="35"/>
      <c r="I1267" s="31"/>
      <c r="J1267" s="155">
        <v>0</v>
      </c>
    </row>
    <row r="1268" spans="1:10" ht="15" hidden="1" thickBot="1" x14ac:dyDescent="0.35">
      <c r="A1268" s="229"/>
      <c r="B1268" s="224"/>
      <c r="C1268" s="36" t="s">
        <v>30</v>
      </c>
      <c r="D1268" s="36" t="s">
        <v>12</v>
      </c>
      <c r="E1268" s="37">
        <v>0.28999999999999998</v>
      </c>
      <c r="F1268" s="31">
        <v>20.484999999999999</v>
      </c>
      <c r="G1268" s="31">
        <f t="shared" si="20"/>
        <v>5.9406499999999998</v>
      </c>
      <c r="H1268" s="39">
        <f>SUM(G1268:G1270)</f>
        <v>10.56006</v>
      </c>
      <c r="I1268" s="40"/>
      <c r="J1268" s="155">
        <v>0</v>
      </c>
    </row>
    <row r="1269" spans="1:10" ht="15" hidden="1" thickBot="1" x14ac:dyDescent="0.35">
      <c r="A1269" s="229"/>
      <c r="B1269" s="224"/>
      <c r="C1269" s="36" t="s">
        <v>74</v>
      </c>
      <c r="D1269" s="47" t="s">
        <v>12</v>
      </c>
      <c r="E1269" s="37">
        <v>0.28999999999999998</v>
      </c>
      <c r="F1269" s="31">
        <v>15.928999999999998</v>
      </c>
      <c r="G1269" s="31">
        <f t="shared" si="20"/>
        <v>4.6194099999999993</v>
      </c>
      <c r="H1269" s="35"/>
      <c r="I1269" s="31"/>
      <c r="J1269" s="155">
        <v>0</v>
      </c>
    </row>
    <row r="1270" spans="1:10" ht="27" hidden="1" thickBot="1" x14ac:dyDescent="0.35">
      <c r="A1270" s="229"/>
      <c r="B1270" s="224"/>
      <c r="C1270" s="36" t="s">
        <v>424</v>
      </c>
      <c r="D1270" s="36" t="s">
        <v>147</v>
      </c>
      <c r="E1270" s="37">
        <v>1</v>
      </c>
      <c r="F1270" s="34" t="s">
        <v>560</v>
      </c>
      <c r="G1270" s="31" t="str">
        <f t="shared" si="20"/>
        <v/>
      </c>
      <c r="H1270" s="35"/>
      <c r="I1270" s="31"/>
      <c r="J1270" s="155">
        <v>0</v>
      </c>
    </row>
    <row r="1271" spans="1:10" ht="15" hidden="1" thickBot="1" x14ac:dyDescent="0.35">
      <c r="A1271" s="230"/>
      <c r="B1271" s="225"/>
      <c r="C1271" s="36"/>
      <c r="D1271" s="36"/>
      <c r="E1271" s="37"/>
      <c r="F1271" s="31" t="s">
        <v>560</v>
      </c>
      <c r="G1271" s="31" t="str">
        <f t="shared" si="20"/>
        <v/>
      </c>
      <c r="H1271" s="35"/>
      <c r="I1271" s="31"/>
      <c r="J1271" s="155">
        <v>0</v>
      </c>
    </row>
    <row r="1272" spans="1:10" ht="15" hidden="1" thickBot="1" x14ac:dyDescent="0.35">
      <c r="A1272" s="226" t="s">
        <v>425</v>
      </c>
      <c r="B1272" s="223" t="e">
        <f>INDEX(#REF!,MATCH(Composições!A1272,#REF!,0),2)</f>
        <v>#REF!</v>
      </c>
      <c r="C1272" s="41"/>
      <c r="D1272" s="26" t="e">
        <f>TRIM(INDEX(#REF!,MATCH(Composições!A1272,#REF!,0),1))</f>
        <v>#REF!</v>
      </c>
      <c r="E1272" s="27"/>
      <c r="F1272" s="42" t="s">
        <v>560</v>
      </c>
      <c r="G1272" s="28" t="str">
        <f t="shared" si="20"/>
        <v/>
      </c>
      <c r="H1272" s="29"/>
      <c r="I1272" s="30"/>
      <c r="J1272" s="155">
        <v>0</v>
      </c>
    </row>
    <row r="1273" spans="1:10" ht="15" hidden="1" thickBot="1" x14ac:dyDescent="0.35">
      <c r="A1273" s="229"/>
      <c r="B1273" s="224"/>
      <c r="C1273" s="32"/>
      <c r="D1273" s="32"/>
      <c r="E1273" s="33"/>
      <c r="F1273" s="43" t="s">
        <v>560</v>
      </c>
      <c r="G1273" s="31" t="str">
        <f t="shared" si="20"/>
        <v/>
      </c>
      <c r="H1273" s="35"/>
      <c r="I1273" s="31"/>
      <c r="J1273" s="155">
        <v>0</v>
      </c>
    </row>
    <row r="1274" spans="1:10" ht="27" hidden="1" thickBot="1" x14ac:dyDescent="0.35">
      <c r="A1274" s="229"/>
      <c r="B1274" s="224"/>
      <c r="C1274" s="36" t="s">
        <v>426</v>
      </c>
      <c r="D1274" s="47" t="s">
        <v>147</v>
      </c>
      <c r="E1274" s="37">
        <v>1</v>
      </c>
      <c r="F1274" s="34" t="s">
        <v>560</v>
      </c>
      <c r="G1274" s="34" t="str">
        <f t="shared" si="20"/>
        <v/>
      </c>
      <c r="H1274" s="39">
        <f>SUM(G1274:G1277)</f>
        <v>37.4255</v>
      </c>
      <c r="I1274" s="40"/>
      <c r="J1274" s="155">
        <v>0</v>
      </c>
    </row>
    <row r="1275" spans="1:10" ht="27" hidden="1" thickBot="1" x14ac:dyDescent="0.35">
      <c r="A1275" s="229"/>
      <c r="B1275" s="224"/>
      <c r="C1275" s="36" t="s">
        <v>427</v>
      </c>
      <c r="D1275" s="47" t="s">
        <v>292</v>
      </c>
      <c r="E1275" s="37">
        <v>6</v>
      </c>
      <c r="F1275" s="34">
        <v>0.35699999999999998</v>
      </c>
      <c r="G1275" s="34">
        <f t="shared" si="20"/>
        <v>2.1419999999999999</v>
      </c>
      <c r="H1275" s="35"/>
      <c r="I1275" s="31"/>
      <c r="J1275" s="155">
        <v>0</v>
      </c>
    </row>
    <row r="1276" spans="1:10" ht="15" hidden="1" thickBot="1" x14ac:dyDescent="0.35">
      <c r="A1276" s="229"/>
      <c r="B1276" s="224"/>
      <c r="C1276" s="36" t="s">
        <v>22</v>
      </c>
      <c r="D1276" s="36" t="s">
        <v>12</v>
      </c>
      <c r="E1276" s="37">
        <v>1</v>
      </c>
      <c r="F1276" s="31">
        <v>20.314999999999998</v>
      </c>
      <c r="G1276" s="34">
        <f t="shared" si="20"/>
        <v>20.314999999999998</v>
      </c>
      <c r="H1276" s="35"/>
      <c r="I1276" s="31"/>
      <c r="J1276" s="155">
        <v>0</v>
      </c>
    </row>
    <row r="1277" spans="1:10" ht="15" hidden="1" thickBot="1" x14ac:dyDescent="0.35">
      <c r="A1277" s="229"/>
      <c r="B1277" s="224"/>
      <c r="C1277" s="36" t="s">
        <v>23</v>
      </c>
      <c r="D1277" s="36" t="s">
        <v>12</v>
      </c>
      <c r="E1277" s="37">
        <v>1</v>
      </c>
      <c r="F1277" s="31">
        <v>14.968499999999999</v>
      </c>
      <c r="G1277" s="34">
        <f t="shared" si="20"/>
        <v>14.968499999999999</v>
      </c>
      <c r="H1277" s="35"/>
      <c r="I1277" s="31"/>
      <c r="J1277" s="155">
        <v>0</v>
      </c>
    </row>
    <row r="1278" spans="1:10" ht="15" hidden="1" thickBot="1" x14ac:dyDescent="0.35">
      <c r="A1278" s="230"/>
      <c r="B1278" s="225"/>
      <c r="C1278" s="36"/>
      <c r="D1278" s="36"/>
      <c r="E1278" s="37"/>
      <c r="F1278" s="31" t="s">
        <v>560</v>
      </c>
      <c r="G1278" s="31" t="str">
        <f t="shared" si="20"/>
        <v/>
      </c>
      <c r="H1278" s="35"/>
      <c r="I1278" s="31"/>
      <c r="J1278" s="155">
        <v>0</v>
      </c>
    </row>
    <row r="1279" spans="1:10" ht="15" hidden="1" thickBot="1" x14ac:dyDescent="0.35">
      <c r="A1279" s="226" t="s">
        <v>428</v>
      </c>
      <c r="B1279" s="223" t="e">
        <f>INDEX(#REF!,MATCH(Composições!A1279,#REF!,0),2)</f>
        <v>#REF!</v>
      </c>
      <c r="C1279" s="41"/>
      <c r="D1279" s="26" t="e">
        <f>TRIM(INDEX(#REF!,MATCH(Composições!A1279,#REF!,0),1))</f>
        <v>#REF!</v>
      </c>
      <c r="E1279" s="27"/>
      <c r="F1279" s="42" t="s">
        <v>560</v>
      </c>
      <c r="G1279" s="28" t="str">
        <f t="shared" si="20"/>
        <v/>
      </c>
      <c r="H1279" s="29"/>
      <c r="I1279" s="30"/>
      <c r="J1279" s="155">
        <v>0</v>
      </c>
    </row>
    <row r="1280" spans="1:10" ht="15" hidden="1" thickBot="1" x14ac:dyDescent="0.35">
      <c r="A1280" s="229"/>
      <c r="B1280" s="224"/>
      <c r="C1280" s="32"/>
      <c r="D1280" s="32"/>
      <c r="E1280" s="33"/>
      <c r="F1280" s="43" t="s">
        <v>560</v>
      </c>
      <c r="G1280" s="31" t="str">
        <f t="shared" si="20"/>
        <v/>
      </c>
      <c r="H1280" s="35"/>
      <c r="I1280" s="31"/>
      <c r="J1280" s="155">
        <v>0</v>
      </c>
    </row>
    <row r="1281" spans="1:10" ht="27" hidden="1" thickBot="1" x14ac:dyDescent="0.35">
      <c r="A1281" s="229"/>
      <c r="B1281" s="224"/>
      <c r="C1281" s="36" t="s">
        <v>429</v>
      </c>
      <c r="D1281" s="47" t="s">
        <v>147</v>
      </c>
      <c r="E1281" s="37">
        <v>1</v>
      </c>
      <c r="F1281" s="34" t="s">
        <v>560</v>
      </c>
      <c r="G1281" s="34" t="str">
        <f t="shared" si="20"/>
        <v/>
      </c>
      <c r="H1281" s="39">
        <f>SUM(G1281:G1284)</f>
        <v>37.4255</v>
      </c>
      <c r="I1281" s="40"/>
      <c r="J1281" s="155">
        <v>0</v>
      </c>
    </row>
    <row r="1282" spans="1:10" ht="27" hidden="1" thickBot="1" x14ac:dyDescent="0.35">
      <c r="A1282" s="229"/>
      <c r="B1282" s="224"/>
      <c r="C1282" s="36" t="s">
        <v>427</v>
      </c>
      <c r="D1282" s="47" t="s">
        <v>292</v>
      </c>
      <c r="E1282" s="37">
        <v>6</v>
      </c>
      <c r="F1282" s="34">
        <v>0.35699999999999998</v>
      </c>
      <c r="G1282" s="34">
        <f t="shared" si="20"/>
        <v>2.1419999999999999</v>
      </c>
      <c r="H1282" s="35"/>
      <c r="I1282" s="31"/>
      <c r="J1282" s="155">
        <v>0</v>
      </c>
    </row>
    <row r="1283" spans="1:10" ht="15" hidden="1" thickBot="1" x14ac:dyDescent="0.35">
      <c r="A1283" s="229"/>
      <c r="B1283" s="224"/>
      <c r="C1283" s="36" t="s">
        <v>22</v>
      </c>
      <c r="D1283" s="36" t="s">
        <v>12</v>
      </c>
      <c r="E1283" s="37">
        <v>1</v>
      </c>
      <c r="F1283" s="31">
        <v>20.314999999999998</v>
      </c>
      <c r="G1283" s="34">
        <f t="shared" si="20"/>
        <v>20.314999999999998</v>
      </c>
      <c r="H1283" s="35"/>
      <c r="I1283" s="31"/>
      <c r="J1283" s="155">
        <v>0</v>
      </c>
    </row>
    <row r="1284" spans="1:10" ht="15" hidden="1" thickBot="1" x14ac:dyDescent="0.35">
      <c r="A1284" s="229"/>
      <c r="B1284" s="224"/>
      <c r="C1284" s="36" t="s">
        <v>23</v>
      </c>
      <c r="D1284" s="36" t="s">
        <v>12</v>
      </c>
      <c r="E1284" s="37">
        <v>1</v>
      </c>
      <c r="F1284" s="31">
        <v>14.968499999999999</v>
      </c>
      <c r="G1284" s="34">
        <f t="shared" si="20"/>
        <v>14.968499999999999</v>
      </c>
      <c r="H1284" s="35"/>
      <c r="I1284" s="31"/>
      <c r="J1284" s="155">
        <v>0</v>
      </c>
    </row>
    <row r="1285" spans="1:10" ht="15" hidden="1" thickBot="1" x14ac:dyDescent="0.35">
      <c r="A1285" s="230"/>
      <c r="B1285" s="225"/>
      <c r="C1285" s="36"/>
      <c r="D1285" s="36"/>
      <c r="E1285" s="37"/>
      <c r="F1285" s="31" t="s">
        <v>560</v>
      </c>
      <c r="G1285" s="31" t="str">
        <f t="shared" si="20"/>
        <v/>
      </c>
      <c r="H1285" s="35"/>
      <c r="I1285" s="31"/>
      <c r="J1285" s="155">
        <v>0</v>
      </c>
    </row>
    <row r="1286" spans="1:10" ht="15" hidden="1" thickBot="1" x14ac:dyDescent="0.35">
      <c r="A1286" s="226" t="s">
        <v>430</v>
      </c>
      <c r="B1286" s="223" t="e">
        <f>INDEX(#REF!,MATCH(Composições!A1286,#REF!,0),2)</f>
        <v>#REF!</v>
      </c>
      <c r="C1286" s="41"/>
      <c r="D1286" s="26" t="e">
        <f>TRIM(INDEX(#REF!,MATCH(Composições!A1286,#REF!,0),1))</f>
        <v>#REF!</v>
      </c>
      <c r="E1286" s="27"/>
      <c r="F1286" s="42" t="s">
        <v>560</v>
      </c>
      <c r="G1286" s="28" t="str">
        <f t="shared" si="20"/>
        <v/>
      </c>
      <c r="H1286" s="29"/>
      <c r="I1286" s="30"/>
      <c r="J1286" s="155">
        <v>0</v>
      </c>
    </row>
    <row r="1287" spans="1:10" ht="15" hidden="1" thickBot="1" x14ac:dyDescent="0.35">
      <c r="A1287" s="229"/>
      <c r="B1287" s="224"/>
      <c r="C1287" s="32"/>
      <c r="D1287" s="32"/>
      <c r="E1287" s="33"/>
      <c r="F1287" s="43" t="s">
        <v>560</v>
      </c>
      <c r="G1287" s="31" t="str">
        <f t="shared" si="20"/>
        <v/>
      </c>
      <c r="H1287" s="35"/>
      <c r="I1287" s="31"/>
      <c r="J1287" s="155">
        <v>0</v>
      </c>
    </row>
    <row r="1288" spans="1:10" ht="27" hidden="1" thickBot="1" x14ac:dyDescent="0.35">
      <c r="A1288" s="229"/>
      <c r="B1288" s="224"/>
      <c r="C1288" s="36" t="s">
        <v>431</v>
      </c>
      <c r="D1288" s="47" t="s">
        <v>147</v>
      </c>
      <c r="E1288" s="37">
        <v>1</v>
      </c>
      <c r="F1288" s="34" t="s">
        <v>560</v>
      </c>
      <c r="G1288" s="34" t="str">
        <f t="shared" si="20"/>
        <v/>
      </c>
      <c r="H1288" s="39">
        <f>SUM(G1288:G1291)</f>
        <v>37.4255</v>
      </c>
      <c r="I1288" s="40"/>
      <c r="J1288" s="155">
        <v>0</v>
      </c>
    </row>
    <row r="1289" spans="1:10" ht="27" hidden="1" thickBot="1" x14ac:dyDescent="0.35">
      <c r="A1289" s="229"/>
      <c r="B1289" s="224"/>
      <c r="C1289" s="36" t="s">
        <v>427</v>
      </c>
      <c r="D1289" s="47" t="s">
        <v>292</v>
      </c>
      <c r="E1289" s="37">
        <v>6</v>
      </c>
      <c r="F1289" s="34">
        <v>0.35699999999999998</v>
      </c>
      <c r="G1289" s="34">
        <f t="shared" si="20"/>
        <v>2.1419999999999999</v>
      </c>
      <c r="H1289" s="35"/>
      <c r="I1289" s="31"/>
      <c r="J1289" s="155">
        <v>0</v>
      </c>
    </row>
    <row r="1290" spans="1:10" ht="15" hidden="1" thickBot="1" x14ac:dyDescent="0.35">
      <c r="A1290" s="229"/>
      <c r="B1290" s="224"/>
      <c r="C1290" s="36" t="s">
        <v>22</v>
      </c>
      <c r="D1290" s="36" t="s">
        <v>12</v>
      </c>
      <c r="E1290" s="37">
        <v>1</v>
      </c>
      <c r="F1290" s="31">
        <v>20.314999999999998</v>
      </c>
      <c r="G1290" s="34">
        <f t="shared" si="20"/>
        <v>20.314999999999998</v>
      </c>
      <c r="H1290" s="35"/>
      <c r="I1290" s="31"/>
      <c r="J1290" s="155">
        <v>0</v>
      </c>
    </row>
    <row r="1291" spans="1:10" ht="15" hidden="1" thickBot="1" x14ac:dyDescent="0.35">
      <c r="A1291" s="229"/>
      <c r="B1291" s="224"/>
      <c r="C1291" s="36" t="s">
        <v>23</v>
      </c>
      <c r="D1291" s="36" t="s">
        <v>12</v>
      </c>
      <c r="E1291" s="37">
        <v>1</v>
      </c>
      <c r="F1291" s="31">
        <v>14.968499999999999</v>
      </c>
      <c r="G1291" s="34">
        <f t="shared" si="20"/>
        <v>14.968499999999999</v>
      </c>
      <c r="H1291" s="35"/>
      <c r="I1291" s="31"/>
      <c r="J1291" s="155">
        <v>0</v>
      </c>
    </row>
    <row r="1292" spans="1:10" ht="15" hidden="1" thickBot="1" x14ac:dyDescent="0.35">
      <c r="A1292" s="230"/>
      <c r="B1292" s="225"/>
      <c r="C1292" s="36"/>
      <c r="D1292" s="36"/>
      <c r="E1292" s="37"/>
      <c r="F1292" s="31" t="s">
        <v>560</v>
      </c>
      <c r="G1292" s="31" t="str">
        <f t="shared" si="20"/>
        <v/>
      </c>
      <c r="H1292" s="35"/>
      <c r="I1292" s="31"/>
      <c r="J1292" s="155">
        <v>0</v>
      </c>
    </row>
    <row r="1293" spans="1:10" ht="15" hidden="1" thickBot="1" x14ac:dyDescent="0.35">
      <c r="A1293" s="226" t="s">
        <v>432</v>
      </c>
      <c r="B1293" s="223" t="e">
        <f>INDEX(#REF!,MATCH(Composições!A1293,#REF!,0),2)</f>
        <v>#REF!</v>
      </c>
      <c r="C1293" s="41"/>
      <c r="D1293" s="26" t="e">
        <f>TRIM(INDEX(#REF!,MATCH(Composições!A1293,#REF!,0),1))</f>
        <v>#REF!</v>
      </c>
      <c r="E1293" s="27"/>
      <c r="F1293" s="42" t="s">
        <v>560</v>
      </c>
      <c r="G1293" s="28" t="str">
        <f t="shared" si="20"/>
        <v/>
      </c>
      <c r="H1293" s="29"/>
      <c r="I1293" s="30"/>
      <c r="J1293" s="155">
        <v>0</v>
      </c>
    </row>
    <row r="1294" spans="1:10" ht="15" hidden="1" thickBot="1" x14ac:dyDescent="0.35">
      <c r="A1294" s="229"/>
      <c r="B1294" s="224"/>
      <c r="C1294" s="32"/>
      <c r="D1294" s="32"/>
      <c r="E1294" s="33"/>
      <c r="F1294" s="43" t="s">
        <v>560</v>
      </c>
      <c r="G1294" s="31" t="str">
        <f t="shared" si="20"/>
        <v/>
      </c>
      <c r="H1294" s="35"/>
      <c r="I1294" s="31"/>
      <c r="J1294" s="155">
        <v>0</v>
      </c>
    </row>
    <row r="1295" spans="1:10" ht="15" hidden="1" thickBot="1" x14ac:dyDescent="0.35">
      <c r="A1295" s="229"/>
      <c r="B1295" s="224"/>
      <c r="C1295" s="36" t="s">
        <v>22</v>
      </c>
      <c r="D1295" s="36" t="s">
        <v>12</v>
      </c>
      <c r="E1295" s="37">
        <v>1</v>
      </c>
      <c r="F1295" s="31">
        <v>20.314999999999998</v>
      </c>
      <c r="G1295" s="34">
        <f t="shared" si="20"/>
        <v>20.314999999999998</v>
      </c>
      <c r="H1295" s="39">
        <f>SUM(G1295:G1298)</f>
        <v>37.4255</v>
      </c>
      <c r="I1295" s="40"/>
      <c r="J1295" s="155">
        <v>0</v>
      </c>
    </row>
    <row r="1296" spans="1:10" ht="15" hidden="1" thickBot="1" x14ac:dyDescent="0.35">
      <c r="A1296" s="229"/>
      <c r="B1296" s="224"/>
      <c r="C1296" s="36" t="s">
        <v>23</v>
      </c>
      <c r="D1296" s="36" t="s">
        <v>12</v>
      </c>
      <c r="E1296" s="37">
        <v>1</v>
      </c>
      <c r="F1296" s="31">
        <v>14.968499999999999</v>
      </c>
      <c r="G1296" s="34">
        <f t="shared" si="20"/>
        <v>14.968499999999999</v>
      </c>
      <c r="H1296" s="35"/>
      <c r="I1296" s="31"/>
      <c r="J1296" s="155">
        <v>0</v>
      </c>
    </row>
    <row r="1297" spans="1:10" ht="27" hidden="1" thickBot="1" x14ac:dyDescent="0.35">
      <c r="A1297" s="229"/>
      <c r="B1297" s="224"/>
      <c r="C1297" s="36" t="s">
        <v>433</v>
      </c>
      <c r="D1297" s="36" t="s">
        <v>20</v>
      </c>
      <c r="E1297" s="37">
        <v>1</v>
      </c>
      <c r="F1297" s="34" t="s">
        <v>560</v>
      </c>
      <c r="G1297" s="31" t="str">
        <f t="shared" si="20"/>
        <v/>
      </c>
      <c r="H1297" s="35"/>
      <c r="I1297" s="31"/>
      <c r="J1297" s="155">
        <v>0</v>
      </c>
    </row>
    <row r="1298" spans="1:10" ht="27" hidden="1" thickBot="1" x14ac:dyDescent="0.35">
      <c r="A1298" s="229"/>
      <c r="B1298" s="224"/>
      <c r="C1298" s="36" t="s">
        <v>427</v>
      </c>
      <c r="D1298" s="47" t="s">
        <v>292</v>
      </c>
      <c r="E1298" s="37">
        <v>6</v>
      </c>
      <c r="F1298" s="34">
        <v>0.35699999999999998</v>
      </c>
      <c r="G1298" s="34">
        <f t="shared" ref="G1298:G1361" si="21">IF(ISNUMBER(F1298),E1298*F1298,"")</f>
        <v>2.1419999999999999</v>
      </c>
      <c r="H1298" s="35"/>
      <c r="I1298" s="31"/>
      <c r="J1298" s="155">
        <v>0</v>
      </c>
    </row>
    <row r="1299" spans="1:10" ht="15" hidden="1" thickBot="1" x14ac:dyDescent="0.35">
      <c r="A1299" s="230"/>
      <c r="B1299" s="225"/>
      <c r="C1299" s="36"/>
      <c r="D1299" s="36"/>
      <c r="E1299" s="37"/>
      <c r="F1299" s="31" t="s">
        <v>560</v>
      </c>
      <c r="G1299" s="31" t="str">
        <f t="shared" si="21"/>
        <v/>
      </c>
      <c r="H1299" s="35"/>
      <c r="I1299" s="31"/>
      <c r="J1299" s="155">
        <v>0</v>
      </c>
    </row>
    <row r="1300" spans="1:10" ht="15" hidden="1" thickBot="1" x14ac:dyDescent="0.35">
      <c r="A1300" s="226" t="s">
        <v>434</v>
      </c>
      <c r="B1300" s="223" t="e">
        <f>INDEX(#REF!,MATCH(Composições!A1300,#REF!,0),2)</f>
        <v>#REF!</v>
      </c>
      <c r="C1300" s="41"/>
      <c r="D1300" s="26" t="e">
        <f>TRIM(INDEX(#REF!,MATCH(Composições!A1300,#REF!,0),1))</f>
        <v>#REF!</v>
      </c>
      <c r="E1300" s="27"/>
      <c r="F1300" s="42" t="s">
        <v>560</v>
      </c>
      <c r="G1300" s="28" t="str">
        <f t="shared" si="21"/>
        <v/>
      </c>
      <c r="H1300" s="29"/>
      <c r="I1300" s="30"/>
      <c r="J1300" s="155">
        <v>0</v>
      </c>
    </row>
    <row r="1301" spans="1:10" ht="15" hidden="1" thickBot="1" x14ac:dyDescent="0.35">
      <c r="A1301" s="229"/>
      <c r="B1301" s="224"/>
      <c r="C1301" s="32"/>
      <c r="D1301" s="32"/>
      <c r="E1301" s="33"/>
      <c r="F1301" s="43" t="s">
        <v>560</v>
      </c>
      <c r="G1301" s="31" t="str">
        <f t="shared" si="21"/>
        <v/>
      </c>
      <c r="H1301" s="35"/>
      <c r="I1301" s="31"/>
      <c r="J1301" s="155">
        <v>0</v>
      </c>
    </row>
    <row r="1302" spans="1:10" ht="27" hidden="1" thickBot="1" x14ac:dyDescent="0.35">
      <c r="A1302" s="229"/>
      <c r="B1302" s="224"/>
      <c r="C1302" s="36" t="s">
        <v>435</v>
      </c>
      <c r="D1302" s="47" t="s">
        <v>147</v>
      </c>
      <c r="E1302" s="37">
        <v>1</v>
      </c>
      <c r="F1302" s="34" t="s">
        <v>560</v>
      </c>
      <c r="G1302" s="34" t="str">
        <f t="shared" si="21"/>
        <v/>
      </c>
      <c r="H1302" s="39">
        <f>SUM(G1302:G1306)</f>
        <v>30.678774599999993</v>
      </c>
      <c r="I1302" s="40"/>
      <c r="J1302" s="155">
        <v>0</v>
      </c>
    </row>
    <row r="1303" spans="1:10" ht="27" hidden="1" thickBot="1" x14ac:dyDescent="0.35">
      <c r="A1303" s="229"/>
      <c r="B1303" s="224"/>
      <c r="C1303" s="36" t="s">
        <v>366</v>
      </c>
      <c r="D1303" s="47" t="s">
        <v>292</v>
      </c>
      <c r="E1303" s="37">
        <v>2</v>
      </c>
      <c r="F1303" s="34">
        <v>9.3584999999999994</v>
      </c>
      <c r="G1303" s="34">
        <f t="shared" si="21"/>
        <v>18.716999999999999</v>
      </c>
      <c r="H1303" s="35"/>
      <c r="I1303" s="31"/>
      <c r="J1303" s="155">
        <v>0</v>
      </c>
    </row>
    <row r="1304" spans="1:10" ht="15" hidden="1" thickBot="1" x14ac:dyDescent="0.35">
      <c r="A1304" s="229"/>
      <c r="B1304" s="224"/>
      <c r="C1304" s="36" t="s">
        <v>1935</v>
      </c>
      <c r="D1304" s="47" t="s">
        <v>42</v>
      </c>
      <c r="E1304" s="37">
        <v>3.04E-2</v>
      </c>
      <c r="F1304" s="34">
        <v>47.302499999999995</v>
      </c>
      <c r="G1304" s="34">
        <f t="shared" si="21"/>
        <v>1.4379959999999998</v>
      </c>
      <c r="H1304" s="35"/>
      <c r="I1304" s="31"/>
      <c r="J1304" s="155">
        <v>0</v>
      </c>
    </row>
    <row r="1305" spans="1:10" ht="15" hidden="1" thickBot="1" x14ac:dyDescent="0.35">
      <c r="A1305" s="229"/>
      <c r="B1305" s="224"/>
      <c r="C1305" s="36" t="s">
        <v>39</v>
      </c>
      <c r="D1305" s="47" t="s">
        <v>12</v>
      </c>
      <c r="E1305" s="37">
        <v>0.38700000000000001</v>
      </c>
      <c r="F1305" s="31">
        <v>19.898499999999999</v>
      </c>
      <c r="G1305" s="34">
        <f t="shared" si="21"/>
        <v>7.7007194999999999</v>
      </c>
      <c r="H1305" s="35"/>
      <c r="I1305" s="31"/>
      <c r="J1305" s="155">
        <v>0</v>
      </c>
    </row>
    <row r="1306" spans="1:10" ht="15" hidden="1" thickBot="1" x14ac:dyDescent="0.35">
      <c r="A1306" s="229"/>
      <c r="B1306" s="224"/>
      <c r="C1306" s="36" t="s">
        <v>23</v>
      </c>
      <c r="D1306" s="47" t="s">
        <v>12</v>
      </c>
      <c r="E1306" s="37">
        <v>0.18859999999999999</v>
      </c>
      <c r="F1306" s="31">
        <v>14.968499999999999</v>
      </c>
      <c r="G1306" s="34">
        <f t="shared" si="21"/>
        <v>2.8230590999999996</v>
      </c>
      <c r="H1306" s="35"/>
      <c r="I1306" s="31"/>
      <c r="J1306" s="155">
        <v>0</v>
      </c>
    </row>
    <row r="1307" spans="1:10" ht="15" hidden="1" thickBot="1" x14ac:dyDescent="0.35">
      <c r="A1307" s="230"/>
      <c r="B1307" s="225"/>
      <c r="C1307" s="36"/>
      <c r="D1307" s="36"/>
      <c r="E1307" s="37"/>
      <c r="F1307" s="31" t="s">
        <v>560</v>
      </c>
      <c r="G1307" s="31" t="str">
        <f t="shared" si="21"/>
        <v/>
      </c>
      <c r="H1307" s="35"/>
      <c r="I1307" s="31"/>
      <c r="J1307" s="155">
        <v>0</v>
      </c>
    </row>
    <row r="1308" spans="1:10" ht="15" hidden="1" thickBot="1" x14ac:dyDescent="0.35">
      <c r="A1308" s="226" t="s">
        <v>436</v>
      </c>
      <c r="B1308" s="223" t="e">
        <f>INDEX(#REF!,MATCH(Composições!A1308,#REF!,0),2)</f>
        <v>#REF!</v>
      </c>
      <c r="C1308" s="41"/>
      <c r="D1308" s="26" t="e">
        <f>TRIM(INDEX(#REF!,MATCH(Composições!A1308,#REF!,0),1))</f>
        <v>#REF!</v>
      </c>
      <c r="E1308" s="27"/>
      <c r="F1308" s="42" t="s">
        <v>560</v>
      </c>
      <c r="G1308" s="28" t="str">
        <f t="shared" si="21"/>
        <v/>
      </c>
      <c r="H1308" s="29"/>
      <c r="I1308" s="30"/>
      <c r="J1308" s="155">
        <v>0</v>
      </c>
    </row>
    <row r="1309" spans="1:10" ht="15" hidden="1" thickBot="1" x14ac:dyDescent="0.35">
      <c r="A1309" s="229"/>
      <c r="B1309" s="224"/>
      <c r="C1309" s="32"/>
      <c r="D1309" s="32"/>
      <c r="E1309" s="33"/>
      <c r="F1309" s="43" t="s">
        <v>560</v>
      </c>
      <c r="G1309" s="31" t="str">
        <f t="shared" si="21"/>
        <v/>
      </c>
      <c r="H1309" s="35"/>
      <c r="I1309" s="31"/>
      <c r="J1309" s="155">
        <v>0</v>
      </c>
    </row>
    <row r="1310" spans="1:10" ht="15" hidden="1" thickBot="1" x14ac:dyDescent="0.35">
      <c r="A1310" s="229"/>
      <c r="B1310" s="224"/>
      <c r="C1310" s="36" t="s">
        <v>39</v>
      </c>
      <c r="D1310" s="47" t="s">
        <v>12</v>
      </c>
      <c r="E1310" s="37">
        <v>1.4666999999999999</v>
      </c>
      <c r="F1310" s="31">
        <v>19.898499999999999</v>
      </c>
      <c r="G1310" s="34">
        <f t="shared" si="21"/>
        <v>29.185129949999997</v>
      </c>
      <c r="H1310" s="39">
        <f>SUM(G1310:G1315)</f>
        <v>99.187497899999983</v>
      </c>
      <c r="I1310" s="40"/>
      <c r="J1310" s="155">
        <v>0</v>
      </c>
    </row>
    <row r="1311" spans="1:10" ht="15" hidden="1" thickBot="1" x14ac:dyDescent="0.35">
      <c r="A1311" s="229"/>
      <c r="B1311" s="224"/>
      <c r="C1311" s="36" t="s">
        <v>23</v>
      </c>
      <c r="D1311" s="47" t="s">
        <v>12</v>
      </c>
      <c r="E1311" s="37">
        <v>0.65169999999999995</v>
      </c>
      <c r="F1311" s="31">
        <v>14.968499999999999</v>
      </c>
      <c r="G1311" s="34">
        <f t="shared" si="21"/>
        <v>9.7549714499999975</v>
      </c>
      <c r="H1311" s="35"/>
      <c r="I1311" s="31"/>
      <c r="J1311" s="155">
        <v>0</v>
      </c>
    </row>
    <row r="1312" spans="1:10" ht="27" hidden="1" thickBot="1" x14ac:dyDescent="0.35">
      <c r="A1312" s="229"/>
      <c r="B1312" s="224"/>
      <c r="C1312" s="36" t="s">
        <v>435</v>
      </c>
      <c r="D1312" s="47" t="s">
        <v>147</v>
      </c>
      <c r="E1312" s="37">
        <v>1</v>
      </c>
      <c r="F1312" s="34" t="s">
        <v>560</v>
      </c>
      <c r="G1312" s="34" t="str">
        <f t="shared" si="21"/>
        <v/>
      </c>
      <c r="H1312" s="35"/>
      <c r="I1312" s="31"/>
      <c r="J1312" s="155">
        <v>0</v>
      </c>
    </row>
    <row r="1313" spans="1:10" ht="27" hidden="1" thickBot="1" x14ac:dyDescent="0.35">
      <c r="A1313" s="229"/>
      <c r="B1313" s="224"/>
      <c r="C1313" s="36" t="s">
        <v>366</v>
      </c>
      <c r="D1313" s="47" t="s">
        <v>292</v>
      </c>
      <c r="E1313" s="37">
        <v>6</v>
      </c>
      <c r="F1313" s="34">
        <v>9.3584999999999994</v>
      </c>
      <c r="G1313" s="34">
        <f t="shared" si="21"/>
        <v>56.150999999999996</v>
      </c>
      <c r="H1313" s="35"/>
      <c r="I1313" s="31"/>
      <c r="J1313" s="155">
        <v>0</v>
      </c>
    </row>
    <row r="1314" spans="1:10" ht="15" hidden="1" thickBot="1" x14ac:dyDescent="0.35">
      <c r="A1314" s="229"/>
      <c r="B1314" s="224"/>
      <c r="C1314" s="36" t="s">
        <v>1935</v>
      </c>
      <c r="D1314" s="47" t="s">
        <v>42</v>
      </c>
      <c r="E1314" s="37">
        <v>8.6599999999999996E-2</v>
      </c>
      <c r="F1314" s="34">
        <v>47.302499999999995</v>
      </c>
      <c r="G1314" s="34">
        <f t="shared" si="21"/>
        <v>4.0963964999999991</v>
      </c>
      <c r="H1314" s="35"/>
      <c r="I1314" s="31"/>
      <c r="J1314" s="155">
        <v>0</v>
      </c>
    </row>
    <row r="1315" spans="1:10" ht="27" hidden="1" thickBot="1" x14ac:dyDescent="0.35">
      <c r="A1315" s="229"/>
      <c r="B1315" s="224"/>
      <c r="C1315" s="36" t="s">
        <v>437</v>
      </c>
      <c r="D1315" s="36" t="s">
        <v>20</v>
      </c>
      <c r="E1315" s="37">
        <v>1</v>
      </c>
      <c r="F1315" s="34" t="s">
        <v>560</v>
      </c>
      <c r="G1315" s="31" t="str">
        <f t="shared" si="21"/>
        <v/>
      </c>
      <c r="H1315" s="35"/>
      <c r="I1315" s="31"/>
      <c r="J1315" s="155">
        <v>0</v>
      </c>
    </row>
    <row r="1316" spans="1:10" ht="15" hidden="1" thickBot="1" x14ac:dyDescent="0.35">
      <c r="A1316" s="229"/>
      <c r="B1316" s="224"/>
      <c r="C1316" s="36"/>
      <c r="D1316" s="36"/>
      <c r="E1316" s="37"/>
      <c r="F1316" s="34" t="s">
        <v>560</v>
      </c>
      <c r="G1316" s="31" t="str">
        <f t="shared" si="21"/>
        <v/>
      </c>
      <c r="H1316" s="35"/>
      <c r="I1316" s="31"/>
      <c r="J1316" s="155">
        <v>0</v>
      </c>
    </row>
    <row r="1317" spans="1:10" ht="15" hidden="1" thickBot="1" x14ac:dyDescent="0.35">
      <c r="A1317" s="226" t="s">
        <v>438</v>
      </c>
      <c r="B1317" s="223" t="e">
        <f>INDEX(#REF!,MATCH(Composições!A1317,#REF!,0),2)</f>
        <v>#REF!</v>
      </c>
      <c r="C1317" s="41"/>
      <c r="D1317" s="26" t="e">
        <f>TRIM(INDEX(#REF!,MATCH(Composições!A1317,#REF!,0),1))</f>
        <v>#REF!</v>
      </c>
      <c r="E1317" s="27"/>
      <c r="F1317" s="42" t="s">
        <v>560</v>
      </c>
      <c r="G1317" s="28" t="str">
        <f t="shared" si="21"/>
        <v/>
      </c>
      <c r="H1317" s="29"/>
      <c r="I1317" s="30"/>
      <c r="J1317" s="155">
        <v>0</v>
      </c>
    </row>
    <row r="1318" spans="1:10" ht="15" hidden="1" thickBot="1" x14ac:dyDescent="0.35">
      <c r="A1318" s="229"/>
      <c r="B1318" s="224"/>
      <c r="C1318" s="32"/>
      <c r="D1318" s="32"/>
      <c r="E1318" s="33"/>
      <c r="F1318" s="43" t="s">
        <v>560</v>
      </c>
      <c r="G1318" s="31" t="str">
        <f t="shared" si="21"/>
        <v/>
      </c>
      <c r="H1318" s="35"/>
      <c r="I1318" s="31"/>
      <c r="J1318" s="155">
        <v>0</v>
      </c>
    </row>
    <row r="1319" spans="1:10" ht="15" hidden="1" thickBot="1" x14ac:dyDescent="0.35">
      <c r="A1319" s="229"/>
      <c r="B1319" s="224"/>
      <c r="C1319" s="36" t="s">
        <v>439</v>
      </c>
      <c r="D1319" s="47" t="s">
        <v>147</v>
      </c>
      <c r="E1319" s="37">
        <v>1</v>
      </c>
      <c r="F1319" s="34" t="s">
        <v>560</v>
      </c>
      <c r="G1319" s="34" t="str">
        <f t="shared" si="21"/>
        <v/>
      </c>
      <c r="H1319" s="39">
        <f>SUM(G1319:G1320)</f>
        <v>3.5772946999999999</v>
      </c>
      <c r="I1319" s="40"/>
      <c r="J1319" s="155">
        <v>0</v>
      </c>
    </row>
    <row r="1320" spans="1:10" ht="27" hidden="1" thickBot="1" x14ac:dyDescent="0.35">
      <c r="A1320" s="229"/>
      <c r="B1320" s="224"/>
      <c r="C1320" s="36" t="s">
        <v>440</v>
      </c>
      <c r="D1320" s="47" t="s">
        <v>292</v>
      </c>
      <c r="E1320" s="37">
        <v>1</v>
      </c>
      <c r="F1320" s="34">
        <v>3.5772946999999999</v>
      </c>
      <c r="G1320" s="34">
        <f t="shared" si="21"/>
        <v>3.5772946999999999</v>
      </c>
      <c r="H1320" s="35"/>
      <c r="I1320" s="31"/>
      <c r="J1320" s="155">
        <v>0</v>
      </c>
    </row>
    <row r="1321" spans="1:10" ht="15" hidden="1" thickBot="1" x14ac:dyDescent="0.35">
      <c r="A1321" s="230"/>
      <c r="B1321" s="225"/>
      <c r="C1321" s="36"/>
      <c r="D1321" s="36"/>
      <c r="E1321" s="37"/>
      <c r="F1321" s="31" t="s">
        <v>560</v>
      </c>
      <c r="G1321" s="31" t="str">
        <f t="shared" si="21"/>
        <v/>
      </c>
      <c r="H1321" s="35"/>
      <c r="I1321" s="31"/>
      <c r="J1321" s="155">
        <v>0</v>
      </c>
    </row>
    <row r="1322" spans="1:10" ht="15" hidden="1" thickBot="1" x14ac:dyDescent="0.35">
      <c r="A1322" s="226" t="s">
        <v>441</v>
      </c>
      <c r="B1322" s="223" t="e">
        <f>INDEX(#REF!,MATCH(Composições!A1322,#REF!,0),2)</f>
        <v>#REF!</v>
      </c>
      <c r="C1322" s="41"/>
      <c r="D1322" s="26" t="e">
        <f>TRIM(INDEX(#REF!,MATCH(Composições!A1322,#REF!,0),1))</f>
        <v>#REF!</v>
      </c>
      <c r="E1322" s="27"/>
      <c r="F1322" s="42" t="s">
        <v>560</v>
      </c>
      <c r="G1322" s="28" t="str">
        <f t="shared" si="21"/>
        <v/>
      </c>
      <c r="H1322" s="29"/>
      <c r="I1322" s="30"/>
      <c r="J1322" s="155">
        <v>0</v>
      </c>
    </row>
    <row r="1323" spans="1:10" ht="15" hidden="1" thickBot="1" x14ac:dyDescent="0.35">
      <c r="A1323" s="229"/>
      <c r="B1323" s="224"/>
      <c r="C1323" s="32"/>
      <c r="D1323" s="32"/>
      <c r="E1323" s="33"/>
      <c r="F1323" s="43" t="s">
        <v>560</v>
      </c>
      <c r="G1323" s="31" t="str">
        <f t="shared" si="21"/>
        <v/>
      </c>
      <c r="H1323" s="35"/>
      <c r="I1323" s="31"/>
      <c r="J1323" s="155">
        <v>0</v>
      </c>
    </row>
    <row r="1324" spans="1:10" ht="15" hidden="1" thickBot="1" x14ac:dyDescent="0.35">
      <c r="A1324" s="229"/>
      <c r="B1324" s="224"/>
      <c r="C1324" s="36" t="s">
        <v>442</v>
      </c>
      <c r="D1324" s="47" t="s">
        <v>147</v>
      </c>
      <c r="E1324" s="37">
        <v>1</v>
      </c>
      <c r="F1324" s="34" t="s">
        <v>560</v>
      </c>
      <c r="G1324" s="34" t="str">
        <f t="shared" si="21"/>
        <v/>
      </c>
      <c r="H1324" s="39">
        <f>SUM(G1324:G1326)</f>
        <v>7.782768299999999</v>
      </c>
      <c r="I1324" s="40"/>
      <c r="J1324" s="155">
        <v>0</v>
      </c>
    </row>
    <row r="1325" spans="1:10" ht="15" hidden="1" thickBot="1" x14ac:dyDescent="0.35">
      <c r="A1325" s="229"/>
      <c r="B1325" s="224"/>
      <c r="C1325" s="36" t="s">
        <v>39</v>
      </c>
      <c r="D1325" s="47" t="s">
        <v>12</v>
      </c>
      <c r="E1325" s="37">
        <v>0.31619999999999998</v>
      </c>
      <c r="F1325" s="31">
        <v>19.898499999999999</v>
      </c>
      <c r="G1325" s="34">
        <f t="shared" si="21"/>
        <v>6.2919056999999992</v>
      </c>
      <c r="H1325" s="35"/>
      <c r="I1325" s="31"/>
      <c r="J1325" s="155">
        <v>0</v>
      </c>
    </row>
    <row r="1326" spans="1:10" ht="15" hidden="1" thickBot="1" x14ac:dyDescent="0.35">
      <c r="A1326" s="229"/>
      <c r="B1326" s="224"/>
      <c r="C1326" s="36" t="s">
        <v>23</v>
      </c>
      <c r="D1326" s="47" t="s">
        <v>12</v>
      </c>
      <c r="E1326" s="37">
        <v>9.9599999999999994E-2</v>
      </c>
      <c r="F1326" s="31">
        <v>14.968499999999999</v>
      </c>
      <c r="G1326" s="34">
        <f t="shared" si="21"/>
        <v>1.4908625999999998</v>
      </c>
      <c r="H1326" s="35"/>
      <c r="I1326" s="31"/>
      <c r="J1326" s="155">
        <v>0</v>
      </c>
    </row>
    <row r="1327" spans="1:10" ht="15" hidden="1" thickBot="1" x14ac:dyDescent="0.35">
      <c r="A1327" s="230"/>
      <c r="B1327" s="225"/>
      <c r="C1327" s="36"/>
      <c r="D1327" s="36"/>
      <c r="E1327" s="37"/>
      <c r="F1327" s="31" t="s">
        <v>560</v>
      </c>
      <c r="G1327" s="31" t="str">
        <f t="shared" si="21"/>
        <v/>
      </c>
      <c r="H1327" s="35"/>
      <c r="I1327" s="31"/>
      <c r="J1327" s="155">
        <v>0</v>
      </c>
    </row>
    <row r="1328" spans="1:10" ht="15" hidden="1" thickBot="1" x14ac:dyDescent="0.35">
      <c r="A1328" s="226" t="s">
        <v>443</v>
      </c>
      <c r="B1328" s="223" t="e">
        <f>INDEX(#REF!,MATCH(Composições!A1328,#REF!,0),2)</f>
        <v>#REF!</v>
      </c>
      <c r="C1328" s="41"/>
      <c r="D1328" s="26" t="e">
        <f>TRIM(INDEX(#REF!,MATCH(Composições!A1328,#REF!,0),1))</f>
        <v>#REF!</v>
      </c>
      <c r="E1328" s="27"/>
      <c r="F1328" s="42" t="s">
        <v>560</v>
      </c>
      <c r="G1328" s="28" t="str">
        <f t="shared" si="21"/>
        <v/>
      </c>
      <c r="H1328" s="29"/>
      <c r="I1328" s="30"/>
      <c r="J1328" s="155">
        <v>0</v>
      </c>
    </row>
    <row r="1329" spans="1:10" ht="15" hidden="1" thickBot="1" x14ac:dyDescent="0.35">
      <c r="A1329" s="229"/>
      <c r="B1329" s="224"/>
      <c r="C1329" s="32"/>
      <c r="D1329" s="32"/>
      <c r="E1329" s="33"/>
      <c r="F1329" s="43" t="s">
        <v>560</v>
      </c>
      <c r="G1329" s="31" t="str">
        <f t="shared" si="21"/>
        <v/>
      </c>
      <c r="H1329" s="35"/>
      <c r="I1329" s="31"/>
      <c r="J1329" s="155">
        <v>0</v>
      </c>
    </row>
    <row r="1330" spans="1:10" ht="27" hidden="1" thickBot="1" x14ac:dyDescent="0.35">
      <c r="A1330" s="229"/>
      <c r="B1330" s="224"/>
      <c r="C1330" s="36" t="s">
        <v>444</v>
      </c>
      <c r="D1330" s="47" t="s">
        <v>147</v>
      </c>
      <c r="E1330" s="37">
        <v>1</v>
      </c>
      <c r="F1330" s="34" t="s">
        <v>560</v>
      </c>
      <c r="G1330" s="34" t="str">
        <f t="shared" si="21"/>
        <v/>
      </c>
      <c r="H1330" s="39">
        <f>SUM(G1330:G1332)</f>
        <v>7.782768299999999</v>
      </c>
      <c r="I1330" s="40"/>
      <c r="J1330" s="155">
        <v>0</v>
      </c>
    </row>
    <row r="1331" spans="1:10" ht="15" hidden="1" thickBot="1" x14ac:dyDescent="0.35">
      <c r="A1331" s="229"/>
      <c r="B1331" s="224"/>
      <c r="C1331" s="36" t="s">
        <v>39</v>
      </c>
      <c r="D1331" s="47" t="s">
        <v>12</v>
      </c>
      <c r="E1331" s="37">
        <v>0.31619999999999998</v>
      </c>
      <c r="F1331" s="31">
        <v>19.898499999999999</v>
      </c>
      <c r="G1331" s="34">
        <f t="shared" si="21"/>
        <v>6.2919056999999992</v>
      </c>
      <c r="H1331" s="35"/>
      <c r="I1331" s="31"/>
      <c r="J1331" s="155">
        <v>0</v>
      </c>
    </row>
    <row r="1332" spans="1:10" ht="15" hidden="1" thickBot="1" x14ac:dyDescent="0.35">
      <c r="A1332" s="229"/>
      <c r="B1332" s="224"/>
      <c r="C1332" s="36" t="s">
        <v>23</v>
      </c>
      <c r="D1332" s="47" t="s">
        <v>12</v>
      </c>
      <c r="E1332" s="37">
        <v>9.9599999999999994E-2</v>
      </c>
      <c r="F1332" s="31">
        <v>14.968499999999999</v>
      </c>
      <c r="G1332" s="34">
        <f t="shared" si="21"/>
        <v>1.4908625999999998</v>
      </c>
      <c r="H1332" s="35"/>
      <c r="I1332" s="31"/>
      <c r="J1332" s="155">
        <v>0</v>
      </c>
    </row>
    <row r="1333" spans="1:10" ht="15" hidden="1" thickBot="1" x14ac:dyDescent="0.35">
      <c r="A1333" s="230"/>
      <c r="B1333" s="225"/>
      <c r="C1333" s="36"/>
      <c r="D1333" s="36"/>
      <c r="E1333" s="37"/>
      <c r="F1333" s="31" t="s">
        <v>560</v>
      </c>
      <c r="G1333" s="31" t="str">
        <f t="shared" si="21"/>
        <v/>
      </c>
      <c r="H1333" s="35"/>
      <c r="I1333" s="31"/>
      <c r="J1333" s="155">
        <v>0</v>
      </c>
    </row>
    <row r="1334" spans="1:10" ht="15" hidden="1" thickBot="1" x14ac:dyDescent="0.35">
      <c r="A1334" s="226" t="s">
        <v>445</v>
      </c>
      <c r="B1334" s="223" t="e">
        <f>INDEX(#REF!,MATCH(Composições!A1334,#REF!,0),2)</f>
        <v>#REF!</v>
      </c>
      <c r="C1334" s="41"/>
      <c r="D1334" s="26" t="e">
        <f>TRIM(INDEX(#REF!,MATCH(Composições!A1334,#REF!,0),1))</f>
        <v>#REF!</v>
      </c>
      <c r="E1334" s="27"/>
      <c r="F1334" s="42" t="s">
        <v>560</v>
      </c>
      <c r="G1334" s="28" t="str">
        <f t="shared" si="21"/>
        <v/>
      </c>
      <c r="H1334" s="29"/>
      <c r="I1334" s="30"/>
      <c r="J1334" s="155">
        <v>0</v>
      </c>
    </row>
    <row r="1335" spans="1:10" ht="15" hidden="1" thickBot="1" x14ac:dyDescent="0.35">
      <c r="A1335" s="229"/>
      <c r="B1335" s="224"/>
      <c r="C1335" s="32"/>
      <c r="D1335" s="32"/>
      <c r="E1335" s="33"/>
      <c r="F1335" s="43" t="s">
        <v>560</v>
      </c>
      <c r="G1335" s="31" t="str">
        <f t="shared" si="21"/>
        <v/>
      </c>
      <c r="H1335" s="35"/>
      <c r="I1335" s="31"/>
      <c r="J1335" s="155">
        <v>0</v>
      </c>
    </row>
    <row r="1336" spans="1:10" ht="27" hidden="1" thickBot="1" x14ac:dyDescent="0.35">
      <c r="A1336" s="229"/>
      <c r="B1336" s="224"/>
      <c r="C1336" s="36" t="s">
        <v>446</v>
      </c>
      <c r="D1336" s="47" t="s">
        <v>147</v>
      </c>
      <c r="E1336" s="37">
        <v>1</v>
      </c>
      <c r="F1336" s="34" t="s">
        <v>560</v>
      </c>
      <c r="G1336" s="34" t="str">
        <f t="shared" si="21"/>
        <v/>
      </c>
      <c r="H1336" s="39">
        <f>SUM(G1336:G1338)</f>
        <v>15.563546749999999</v>
      </c>
      <c r="I1336" s="40"/>
      <c r="J1336" s="155">
        <v>0</v>
      </c>
    </row>
    <row r="1337" spans="1:10" ht="15" hidden="1" thickBot="1" x14ac:dyDescent="0.35">
      <c r="A1337" s="229"/>
      <c r="B1337" s="224"/>
      <c r="C1337" s="36" t="s">
        <v>39</v>
      </c>
      <c r="D1337" s="47" t="s">
        <v>12</v>
      </c>
      <c r="E1337" s="37">
        <v>0.63229999999999997</v>
      </c>
      <c r="F1337" s="31">
        <v>19.898499999999999</v>
      </c>
      <c r="G1337" s="34">
        <f t="shared" si="21"/>
        <v>12.581821549999999</v>
      </c>
      <c r="H1337" s="35"/>
      <c r="I1337" s="31"/>
      <c r="J1337" s="155">
        <v>0</v>
      </c>
    </row>
    <row r="1338" spans="1:10" ht="15" hidden="1" thickBot="1" x14ac:dyDescent="0.35">
      <c r="A1338" s="229"/>
      <c r="B1338" s="224"/>
      <c r="C1338" s="36" t="s">
        <v>23</v>
      </c>
      <c r="D1338" s="47" t="s">
        <v>12</v>
      </c>
      <c r="E1338" s="37">
        <v>0.19919999999999999</v>
      </c>
      <c r="F1338" s="31">
        <v>14.968499999999999</v>
      </c>
      <c r="G1338" s="34">
        <f t="shared" si="21"/>
        <v>2.9817251999999996</v>
      </c>
      <c r="H1338" s="35"/>
      <c r="I1338" s="31"/>
      <c r="J1338" s="155">
        <v>0</v>
      </c>
    </row>
    <row r="1339" spans="1:10" ht="15" hidden="1" thickBot="1" x14ac:dyDescent="0.35">
      <c r="A1339" s="230"/>
      <c r="B1339" s="225"/>
      <c r="C1339" s="36"/>
      <c r="D1339" s="36"/>
      <c r="E1339" s="37"/>
      <c r="F1339" s="31" t="s">
        <v>560</v>
      </c>
      <c r="G1339" s="31" t="str">
        <f t="shared" si="21"/>
        <v/>
      </c>
      <c r="H1339" s="35"/>
      <c r="I1339" s="31"/>
      <c r="J1339" s="155">
        <v>0</v>
      </c>
    </row>
    <row r="1340" spans="1:10" ht="15" hidden="1" thickBot="1" x14ac:dyDescent="0.35">
      <c r="A1340" s="226" t="s">
        <v>447</v>
      </c>
      <c r="B1340" s="223" t="e">
        <f>INDEX(#REF!,MATCH(Composições!A1340,#REF!,0),2)</f>
        <v>#REF!</v>
      </c>
      <c r="C1340" s="41"/>
      <c r="D1340" s="26" t="e">
        <f>TRIM(INDEX(#REF!,MATCH(Composições!A1340,#REF!,0),1))</f>
        <v>#REF!</v>
      </c>
      <c r="E1340" s="27"/>
      <c r="F1340" s="42" t="s">
        <v>560</v>
      </c>
      <c r="G1340" s="28" t="str">
        <f t="shared" si="21"/>
        <v/>
      </c>
      <c r="H1340" s="29"/>
      <c r="I1340" s="30"/>
      <c r="J1340" s="155">
        <v>0</v>
      </c>
    </row>
    <row r="1341" spans="1:10" ht="15" hidden="1" thickBot="1" x14ac:dyDescent="0.35">
      <c r="A1341" s="229"/>
      <c r="B1341" s="224"/>
      <c r="C1341" s="32"/>
      <c r="D1341" s="32"/>
      <c r="E1341" s="33"/>
      <c r="F1341" s="43" t="s">
        <v>560</v>
      </c>
      <c r="G1341" s="31" t="str">
        <f t="shared" si="21"/>
        <v/>
      </c>
      <c r="H1341" s="35"/>
      <c r="I1341" s="31"/>
      <c r="J1341" s="155">
        <v>0</v>
      </c>
    </row>
    <row r="1342" spans="1:10" ht="15" hidden="1" thickBot="1" x14ac:dyDescent="0.35">
      <c r="A1342" s="229"/>
      <c r="B1342" s="224"/>
      <c r="C1342" s="36" t="s">
        <v>74</v>
      </c>
      <c r="D1342" s="36" t="s">
        <v>12</v>
      </c>
      <c r="E1342" s="37">
        <v>0.14499999999999999</v>
      </c>
      <c r="F1342" s="31">
        <v>15.928999999999998</v>
      </c>
      <c r="G1342" s="34">
        <f t="shared" si="21"/>
        <v>2.3097049999999997</v>
      </c>
      <c r="H1342" s="39">
        <f>SUM(G1342:G1345)</f>
        <v>7.4970691584964504</v>
      </c>
      <c r="I1342" s="40"/>
      <c r="J1342" s="155">
        <v>0</v>
      </c>
    </row>
    <row r="1343" spans="1:10" ht="15" hidden="1" thickBot="1" x14ac:dyDescent="0.35">
      <c r="A1343" s="229"/>
      <c r="B1343" s="224"/>
      <c r="C1343" s="36" t="s">
        <v>30</v>
      </c>
      <c r="D1343" s="36" t="s">
        <v>12</v>
      </c>
      <c r="E1343" s="37">
        <v>0.14499999999999999</v>
      </c>
      <c r="F1343" s="31">
        <v>20.484999999999999</v>
      </c>
      <c r="G1343" s="34">
        <f t="shared" si="21"/>
        <v>2.9703249999999999</v>
      </c>
      <c r="H1343" s="35"/>
      <c r="I1343" s="31"/>
      <c r="J1343" s="155">
        <v>0</v>
      </c>
    </row>
    <row r="1344" spans="1:10" ht="27" hidden="1" thickBot="1" x14ac:dyDescent="0.35">
      <c r="A1344" s="229"/>
      <c r="B1344" s="224"/>
      <c r="C1344" s="36" t="s">
        <v>109</v>
      </c>
      <c r="D1344" s="36" t="s">
        <v>110</v>
      </c>
      <c r="E1344" s="37">
        <v>8.9999999999999998E-4</v>
      </c>
      <c r="F1344" s="34">
        <v>480.04350944049992</v>
      </c>
      <c r="G1344" s="34">
        <f t="shared" si="21"/>
        <v>0.43203915849644992</v>
      </c>
      <c r="H1344" s="35"/>
      <c r="I1344" s="31"/>
      <c r="J1344" s="155">
        <v>0</v>
      </c>
    </row>
    <row r="1345" spans="1:10" ht="15" hidden="1" thickBot="1" x14ac:dyDescent="0.35">
      <c r="A1345" s="229"/>
      <c r="B1345" s="224"/>
      <c r="C1345" s="36" t="s">
        <v>448</v>
      </c>
      <c r="D1345" s="36" t="s">
        <v>20</v>
      </c>
      <c r="E1345" s="37">
        <v>1</v>
      </c>
      <c r="F1345" s="34">
        <v>1.7849999999999999</v>
      </c>
      <c r="G1345" s="31">
        <f t="shared" si="21"/>
        <v>1.7849999999999999</v>
      </c>
      <c r="H1345" s="35"/>
      <c r="I1345" s="31"/>
      <c r="J1345" s="155">
        <v>0</v>
      </c>
    </row>
    <row r="1346" spans="1:10" ht="15" hidden="1" thickBot="1" x14ac:dyDescent="0.35">
      <c r="A1346" s="230"/>
      <c r="B1346" s="225"/>
      <c r="C1346" s="36"/>
      <c r="D1346" s="36"/>
      <c r="E1346" s="37"/>
      <c r="F1346" s="31" t="s">
        <v>560</v>
      </c>
      <c r="G1346" s="31" t="str">
        <f t="shared" si="21"/>
        <v/>
      </c>
      <c r="H1346" s="35"/>
      <c r="I1346" s="31"/>
      <c r="J1346" s="155">
        <v>0</v>
      </c>
    </row>
    <row r="1347" spans="1:10" ht="15" hidden="1" thickBot="1" x14ac:dyDescent="0.35">
      <c r="A1347" s="226" t="s">
        <v>449</v>
      </c>
      <c r="B1347" s="223" t="e">
        <f>INDEX(#REF!,MATCH(Composições!A1347,#REF!,0),2)</f>
        <v>#REF!</v>
      </c>
      <c r="C1347" s="41"/>
      <c r="D1347" s="26" t="e">
        <f>TRIM(INDEX(#REF!,MATCH(Composições!A1347,#REF!,0),1))</f>
        <v>#REF!</v>
      </c>
      <c r="E1347" s="27"/>
      <c r="F1347" s="42" t="s">
        <v>560</v>
      </c>
      <c r="G1347" s="28" t="str">
        <f t="shared" si="21"/>
        <v/>
      </c>
      <c r="H1347" s="29"/>
      <c r="I1347" s="30"/>
      <c r="J1347" s="155">
        <v>0</v>
      </c>
    </row>
    <row r="1348" spans="1:10" ht="15" hidden="1" thickBot="1" x14ac:dyDescent="0.35">
      <c r="A1348" s="229"/>
      <c r="B1348" s="224"/>
      <c r="C1348" s="32"/>
      <c r="D1348" s="32"/>
      <c r="E1348" s="33"/>
      <c r="F1348" s="43" t="s">
        <v>560</v>
      </c>
      <c r="G1348" s="31" t="str">
        <f t="shared" si="21"/>
        <v/>
      </c>
      <c r="H1348" s="35"/>
      <c r="I1348" s="31"/>
      <c r="J1348" s="155">
        <v>0</v>
      </c>
    </row>
    <row r="1349" spans="1:10" ht="15" hidden="1" thickBot="1" x14ac:dyDescent="0.35">
      <c r="A1349" s="229"/>
      <c r="B1349" s="224"/>
      <c r="C1349" s="36" t="s">
        <v>74</v>
      </c>
      <c r="D1349" s="36" t="s">
        <v>12</v>
      </c>
      <c r="E1349" s="37">
        <v>0.14499999999999999</v>
      </c>
      <c r="F1349" s="31">
        <v>15.928999999999998</v>
      </c>
      <c r="G1349" s="34">
        <f t="shared" si="21"/>
        <v>2.3097049999999997</v>
      </c>
      <c r="H1349" s="39">
        <f>SUM(G1349:G1351)</f>
        <v>5.28003</v>
      </c>
      <c r="I1349" s="40"/>
      <c r="J1349" s="155">
        <v>0</v>
      </c>
    </row>
    <row r="1350" spans="1:10" ht="15" hidden="1" thickBot="1" x14ac:dyDescent="0.35">
      <c r="A1350" s="229"/>
      <c r="B1350" s="224"/>
      <c r="C1350" s="36" t="s">
        <v>30</v>
      </c>
      <c r="D1350" s="36" t="s">
        <v>12</v>
      </c>
      <c r="E1350" s="37">
        <v>0.14499999999999999</v>
      </c>
      <c r="F1350" s="31">
        <v>20.484999999999999</v>
      </c>
      <c r="G1350" s="34">
        <f t="shared" si="21"/>
        <v>2.9703249999999999</v>
      </c>
      <c r="H1350" s="35"/>
      <c r="I1350" s="31"/>
      <c r="J1350" s="155">
        <v>0</v>
      </c>
    </row>
    <row r="1351" spans="1:10" ht="15" hidden="1" thickBot="1" x14ac:dyDescent="0.35">
      <c r="A1351" s="229"/>
      <c r="B1351" s="224"/>
      <c r="C1351" s="36" t="s">
        <v>450</v>
      </c>
      <c r="D1351" s="36" t="s">
        <v>20</v>
      </c>
      <c r="E1351" s="37">
        <v>1</v>
      </c>
      <c r="F1351" s="34" t="s">
        <v>560</v>
      </c>
      <c r="G1351" s="31" t="str">
        <f t="shared" si="21"/>
        <v/>
      </c>
      <c r="H1351" s="35"/>
      <c r="I1351" s="31"/>
      <c r="J1351" s="155">
        <v>0</v>
      </c>
    </row>
    <row r="1352" spans="1:10" ht="15" hidden="1" thickBot="1" x14ac:dyDescent="0.35">
      <c r="A1352" s="230"/>
      <c r="B1352" s="225"/>
      <c r="C1352" s="36"/>
      <c r="D1352" s="36"/>
      <c r="E1352" s="37"/>
      <c r="F1352" s="31" t="s">
        <v>560</v>
      </c>
      <c r="G1352" s="31" t="str">
        <f t="shared" si="21"/>
        <v/>
      </c>
      <c r="H1352" s="35"/>
      <c r="I1352" s="31"/>
      <c r="J1352" s="155">
        <v>0</v>
      </c>
    </row>
    <row r="1353" spans="1:10" ht="15" hidden="1" thickBot="1" x14ac:dyDescent="0.35">
      <c r="A1353" s="226" t="s">
        <v>451</v>
      </c>
      <c r="B1353" s="223" t="e">
        <f>INDEX(#REF!,MATCH(Composições!A1353,#REF!,0),2)</f>
        <v>#REF!</v>
      </c>
      <c r="C1353" s="41"/>
      <c r="D1353" s="26" t="e">
        <f>TRIM(INDEX(#REF!,MATCH(Composições!A1353,#REF!,0),1))</f>
        <v>#REF!</v>
      </c>
      <c r="E1353" s="27"/>
      <c r="F1353" s="42" t="s">
        <v>560</v>
      </c>
      <c r="G1353" s="28" t="str">
        <f t="shared" si="21"/>
        <v/>
      </c>
      <c r="H1353" s="29"/>
      <c r="I1353" s="30"/>
      <c r="J1353" s="155">
        <v>0</v>
      </c>
    </row>
    <row r="1354" spans="1:10" ht="15" hidden="1" thickBot="1" x14ac:dyDescent="0.35">
      <c r="A1354" s="229"/>
      <c r="B1354" s="224"/>
      <c r="C1354" s="32"/>
      <c r="D1354" s="32"/>
      <c r="E1354" s="33"/>
      <c r="F1354" s="43" t="s">
        <v>560</v>
      </c>
      <c r="G1354" s="31" t="str">
        <f t="shared" si="21"/>
        <v/>
      </c>
      <c r="H1354" s="35"/>
      <c r="I1354" s="31"/>
      <c r="J1354" s="155">
        <v>0</v>
      </c>
    </row>
    <row r="1355" spans="1:10" ht="15" hidden="1" thickBot="1" x14ac:dyDescent="0.35">
      <c r="A1355" s="229"/>
      <c r="B1355" s="224"/>
      <c r="C1355" s="36" t="s">
        <v>74</v>
      </c>
      <c r="D1355" s="36" t="s">
        <v>12</v>
      </c>
      <c r="E1355" s="37">
        <v>0.16600000000000001</v>
      </c>
      <c r="F1355" s="31">
        <v>15.928999999999998</v>
      </c>
      <c r="G1355" s="34">
        <f t="shared" si="21"/>
        <v>2.6442139999999998</v>
      </c>
      <c r="H1355" s="39">
        <f>SUM(G1355:G1358)</f>
        <v>10.165276211328599</v>
      </c>
      <c r="I1355" s="40"/>
      <c r="J1355" s="155">
        <v>0</v>
      </c>
    </row>
    <row r="1356" spans="1:10" ht="15" hidden="1" thickBot="1" x14ac:dyDescent="0.35">
      <c r="A1356" s="229"/>
      <c r="B1356" s="224"/>
      <c r="C1356" s="36" t="s">
        <v>30</v>
      </c>
      <c r="D1356" s="36" t="s">
        <v>12</v>
      </c>
      <c r="E1356" s="37">
        <v>0.16600000000000001</v>
      </c>
      <c r="F1356" s="31">
        <v>20.484999999999999</v>
      </c>
      <c r="G1356" s="34">
        <f t="shared" si="21"/>
        <v>3.4005100000000001</v>
      </c>
      <c r="H1356" s="35"/>
      <c r="I1356" s="31"/>
      <c r="J1356" s="155">
        <v>0</v>
      </c>
    </row>
    <row r="1357" spans="1:10" ht="27" hidden="1" thickBot="1" x14ac:dyDescent="0.35">
      <c r="A1357" s="229"/>
      <c r="B1357" s="224"/>
      <c r="C1357" s="36" t="s">
        <v>109</v>
      </c>
      <c r="D1357" s="36" t="s">
        <v>110</v>
      </c>
      <c r="E1357" s="37">
        <v>1.1999999999999999E-3</v>
      </c>
      <c r="F1357" s="34">
        <v>480.04350944049992</v>
      </c>
      <c r="G1357" s="34">
        <f t="shared" si="21"/>
        <v>0.57605221132859985</v>
      </c>
      <c r="H1357" s="35"/>
      <c r="I1357" s="31"/>
      <c r="J1357" s="155">
        <v>0</v>
      </c>
    </row>
    <row r="1358" spans="1:10" ht="15" hidden="1" thickBot="1" x14ac:dyDescent="0.35">
      <c r="A1358" s="229"/>
      <c r="B1358" s="224"/>
      <c r="C1358" s="36" t="s">
        <v>452</v>
      </c>
      <c r="D1358" s="36" t="s">
        <v>20</v>
      </c>
      <c r="E1358" s="37">
        <v>1</v>
      </c>
      <c r="F1358" s="34">
        <v>3.5444999999999998</v>
      </c>
      <c r="G1358" s="31">
        <f t="shared" si="21"/>
        <v>3.5444999999999998</v>
      </c>
      <c r="H1358" s="35"/>
      <c r="I1358" s="31"/>
      <c r="J1358" s="155">
        <v>0</v>
      </c>
    </row>
    <row r="1359" spans="1:10" ht="15" hidden="1" thickBot="1" x14ac:dyDescent="0.35">
      <c r="A1359" s="230"/>
      <c r="B1359" s="225"/>
      <c r="C1359" s="36"/>
      <c r="D1359" s="36"/>
      <c r="E1359" s="37"/>
      <c r="F1359" s="31" t="s">
        <v>560</v>
      </c>
      <c r="G1359" s="31" t="str">
        <f t="shared" si="21"/>
        <v/>
      </c>
      <c r="H1359" s="35"/>
      <c r="I1359" s="31"/>
      <c r="J1359" s="155">
        <v>0</v>
      </c>
    </row>
    <row r="1360" spans="1:10" ht="15" hidden="1" thickBot="1" x14ac:dyDescent="0.35">
      <c r="A1360" s="226" t="s">
        <v>453</v>
      </c>
      <c r="B1360" s="223" t="e">
        <f>INDEX(#REF!,MATCH(Composições!A1360,#REF!,0),2)</f>
        <v>#REF!</v>
      </c>
      <c r="C1360" s="41"/>
      <c r="D1360" s="26" t="e">
        <f>TRIM(INDEX(#REF!,MATCH(Composições!A1360,#REF!,0),1))</f>
        <v>#REF!</v>
      </c>
      <c r="E1360" s="27"/>
      <c r="F1360" s="42" t="s">
        <v>560</v>
      </c>
      <c r="G1360" s="28" t="str">
        <f t="shared" si="21"/>
        <v/>
      </c>
      <c r="H1360" s="29"/>
      <c r="I1360" s="30"/>
      <c r="J1360" s="155">
        <v>0</v>
      </c>
    </row>
    <row r="1361" spans="1:10" ht="15" hidden="1" thickBot="1" x14ac:dyDescent="0.35">
      <c r="A1361" s="229"/>
      <c r="B1361" s="224"/>
      <c r="C1361" s="32"/>
      <c r="D1361" s="32"/>
      <c r="E1361" s="33"/>
      <c r="F1361" s="43" t="s">
        <v>560</v>
      </c>
      <c r="G1361" s="31" t="str">
        <f t="shared" si="21"/>
        <v/>
      </c>
      <c r="H1361" s="35"/>
      <c r="I1361" s="31"/>
      <c r="J1361" s="155">
        <v>0</v>
      </c>
    </row>
    <row r="1362" spans="1:10" ht="15" hidden="1" thickBot="1" x14ac:dyDescent="0.35">
      <c r="A1362" s="229"/>
      <c r="B1362" s="224"/>
      <c r="C1362" s="36" t="s">
        <v>74</v>
      </c>
      <c r="D1362" s="36" t="s">
        <v>12</v>
      </c>
      <c r="E1362" s="37">
        <v>0.16600000000000001</v>
      </c>
      <c r="F1362" s="31">
        <v>15.928999999999998</v>
      </c>
      <c r="G1362" s="34">
        <f t="shared" ref="G1362:G1425" si="22">IF(ISNUMBER(F1362),E1362*F1362,"")</f>
        <v>2.6442139999999998</v>
      </c>
      <c r="H1362" s="39">
        <f>SUM(G1362:G1364)</f>
        <v>6.0447240000000004</v>
      </c>
      <c r="I1362" s="40"/>
      <c r="J1362" s="155">
        <v>0</v>
      </c>
    </row>
    <row r="1363" spans="1:10" ht="15" hidden="1" thickBot="1" x14ac:dyDescent="0.35">
      <c r="A1363" s="229"/>
      <c r="B1363" s="224"/>
      <c r="C1363" s="36" t="s">
        <v>30</v>
      </c>
      <c r="D1363" s="36" t="s">
        <v>12</v>
      </c>
      <c r="E1363" s="37">
        <v>0.16600000000000001</v>
      </c>
      <c r="F1363" s="31">
        <v>20.484999999999999</v>
      </c>
      <c r="G1363" s="34">
        <f t="shared" si="22"/>
        <v>3.4005100000000001</v>
      </c>
      <c r="H1363" s="35"/>
      <c r="I1363" s="31"/>
      <c r="J1363" s="155">
        <v>0</v>
      </c>
    </row>
    <row r="1364" spans="1:10" ht="15" hidden="1" thickBot="1" x14ac:dyDescent="0.35">
      <c r="A1364" s="229"/>
      <c r="B1364" s="224"/>
      <c r="C1364" s="36" t="s">
        <v>454</v>
      </c>
      <c r="D1364" s="36" t="s">
        <v>20</v>
      </c>
      <c r="E1364" s="37">
        <v>1</v>
      </c>
      <c r="F1364" s="34" t="s">
        <v>560</v>
      </c>
      <c r="G1364" s="31" t="str">
        <f t="shared" si="22"/>
        <v/>
      </c>
      <c r="H1364" s="35"/>
      <c r="I1364" s="31"/>
      <c r="J1364" s="155">
        <v>0</v>
      </c>
    </row>
    <row r="1365" spans="1:10" ht="15" hidden="1" thickBot="1" x14ac:dyDescent="0.35">
      <c r="A1365" s="230"/>
      <c r="B1365" s="225"/>
      <c r="C1365" s="36"/>
      <c r="D1365" s="36"/>
      <c r="E1365" s="37"/>
      <c r="F1365" s="31" t="s">
        <v>560</v>
      </c>
      <c r="G1365" s="31" t="str">
        <f t="shared" si="22"/>
        <v/>
      </c>
      <c r="H1365" s="35"/>
      <c r="I1365" s="31"/>
      <c r="J1365" s="155">
        <v>0</v>
      </c>
    </row>
    <row r="1366" spans="1:10" ht="15" hidden="1" thickBot="1" x14ac:dyDescent="0.35">
      <c r="A1366" s="226" t="s">
        <v>455</v>
      </c>
      <c r="B1366" s="223" t="e">
        <f>INDEX(#REF!,MATCH(Composições!A1366,#REF!,0),2)</f>
        <v>#REF!</v>
      </c>
      <c r="C1366" s="41"/>
      <c r="D1366" s="26" t="e">
        <f>TRIM(INDEX(#REF!,MATCH(Composições!A1366,#REF!,0),1))</f>
        <v>#REF!</v>
      </c>
      <c r="E1366" s="27"/>
      <c r="F1366" s="42" t="s">
        <v>560</v>
      </c>
      <c r="G1366" s="28" t="str">
        <f t="shared" si="22"/>
        <v/>
      </c>
      <c r="H1366" s="29"/>
      <c r="I1366" s="30"/>
      <c r="J1366" s="155">
        <v>0</v>
      </c>
    </row>
    <row r="1367" spans="1:10" ht="15" hidden="1" thickBot="1" x14ac:dyDescent="0.35">
      <c r="A1367" s="229"/>
      <c r="B1367" s="224"/>
      <c r="C1367" s="32"/>
      <c r="D1367" s="32"/>
      <c r="E1367" s="33"/>
      <c r="F1367" s="43" t="s">
        <v>560</v>
      </c>
      <c r="G1367" s="31" t="str">
        <f t="shared" si="22"/>
        <v/>
      </c>
      <c r="H1367" s="35"/>
      <c r="I1367" s="31"/>
      <c r="J1367" s="155">
        <v>0</v>
      </c>
    </row>
    <row r="1368" spans="1:10" ht="15" hidden="1" thickBot="1" x14ac:dyDescent="0.35">
      <c r="A1368" s="229"/>
      <c r="B1368" s="224"/>
      <c r="C1368" s="36" t="s">
        <v>74</v>
      </c>
      <c r="D1368" s="36" t="s">
        <v>12</v>
      </c>
      <c r="E1368" s="37">
        <v>0.34599999999999997</v>
      </c>
      <c r="F1368" s="31">
        <v>15.928999999999998</v>
      </c>
      <c r="G1368" s="34">
        <f t="shared" si="22"/>
        <v>5.5114339999999995</v>
      </c>
      <c r="H1368" s="39">
        <f>SUM(G1368:G1370)</f>
        <v>12.599243999999999</v>
      </c>
      <c r="I1368" s="40"/>
      <c r="J1368" s="155">
        <v>0</v>
      </c>
    </row>
    <row r="1369" spans="1:10" ht="15" hidden="1" thickBot="1" x14ac:dyDescent="0.35">
      <c r="A1369" s="229"/>
      <c r="B1369" s="224"/>
      <c r="C1369" s="36" t="s">
        <v>30</v>
      </c>
      <c r="D1369" s="36" t="s">
        <v>12</v>
      </c>
      <c r="E1369" s="37">
        <v>0.34599999999999997</v>
      </c>
      <c r="F1369" s="31">
        <v>20.484999999999999</v>
      </c>
      <c r="G1369" s="34">
        <f t="shared" si="22"/>
        <v>7.0878099999999993</v>
      </c>
      <c r="H1369" s="35"/>
      <c r="I1369" s="31"/>
      <c r="J1369" s="155">
        <v>0</v>
      </c>
    </row>
    <row r="1370" spans="1:10" ht="15" hidden="1" thickBot="1" x14ac:dyDescent="0.35">
      <c r="A1370" s="229"/>
      <c r="B1370" s="224"/>
      <c r="C1370" s="36" t="s">
        <v>456</v>
      </c>
      <c r="D1370" s="36" t="s">
        <v>93</v>
      </c>
      <c r="E1370" s="37">
        <v>1</v>
      </c>
      <c r="F1370" s="34" t="s">
        <v>560</v>
      </c>
      <c r="G1370" s="34" t="str">
        <f t="shared" si="22"/>
        <v/>
      </c>
      <c r="H1370" s="35"/>
      <c r="I1370" s="31"/>
      <c r="J1370" s="155">
        <v>0</v>
      </c>
    </row>
    <row r="1371" spans="1:10" ht="15" hidden="1" thickBot="1" x14ac:dyDescent="0.35">
      <c r="A1371" s="230"/>
      <c r="B1371" s="225"/>
      <c r="C1371" s="36"/>
      <c r="D1371" s="36"/>
      <c r="E1371" s="37"/>
      <c r="F1371" s="31" t="s">
        <v>560</v>
      </c>
      <c r="G1371" s="31" t="str">
        <f t="shared" si="22"/>
        <v/>
      </c>
      <c r="H1371" s="35"/>
      <c r="I1371" s="31"/>
      <c r="J1371" s="155">
        <v>0</v>
      </c>
    </row>
    <row r="1372" spans="1:10" ht="15" thickBot="1" x14ac:dyDescent="0.35">
      <c r="A1372" s="226" t="s">
        <v>457</v>
      </c>
      <c r="B1372" s="223" t="str">
        <f>INDEX(Orçamentária!A:B,MATCH(Composições!A1372,Orçamentária!A:A,0),2)</f>
        <v>Caixa de passagem em alumínio 200x200x100mm</v>
      </c>
      <c r="C1372" s="41"/>
      <c r="D1372" s="26" t="str">
        <f>TRIM(INDEX(Orçamentária!C:C,MATCH(Composições!A1372,Orçamentária!A:A,0),1))</f>
        <v>un</v>
      </c>
      <c r="E1372" s="27"/>
      <c r="F1372" s="42" t="s">
        <v>560</v>
      </c>
      <c r="G1372" s="28" t="str">
        <f t="shared" si="22"/>
        <v/>
      </c>
      <c r="H1372" s="29"/>
      <c r="I1372" s="30"/>
      <c r="J1372" s="155">
        <v>4</v>
      </c>
    </row>
    <row r="1373" spans="1:10" x14ac:dyDescent="0.3">
      <c r="A1373" s="229"/>
      <c r="B1373" s="224"/>
      <c r="C1373" s="32"/>
      <c r="D1373" s="32"/>
      <c r="E1373" s="33"/>
      <c r="F1373" s="43" t="s">
        <v>560</v>
      </c>
      <c r="G1373" s="31" t="str">
        <f t="shared" si="22"/>
        <v/>
      </c>
      <c r="H1373" s="35"/>
      <c r="I1373" s="31"/>
      <c r="J1373" s="155">
        <v>4</v>
      </c>
    </row>
    <row r="1374" spans="1:10" x14ac:dyDescent="0.3">
      <c r="A1374" s="229"/>
      <c r="B1374" s="224"/>
      <c r="C1374" s="36" t="s">
        <v>74</v>
      </c>
      <c r="D1374" s="36" t="s">
        <v>12</v>
      </c>
      <c r="E1374" s="37">
        <v>0.34599999999999997</v>
      </c>
      <c r="F1374" s="31">
        <v>15.928999999999998</v>
      </c>
      <c r="G1374" s="34">
        <f t="shared" si="22"/>
        <v>5.5114339999999995</v>
      </c>
      <c r="H1374" s="39">
        <f>SUM(G1374:G1376)</f>
        <v>114.499244</v>
      </c>
      <c r="I1374" s="40"/>
      <c r="J1374" s="155">
        <v>4</v>
      </c>
    </row>
    <row r="1375" spans="1:10" x14ac:dyDescent="0.3">
      <c r="A1375" s="229"/>
      <c r="B1375" s="224"/>
      <c r="C1375" s="36" t="s">
        <v>30</v>
      </c>
      <c r="D1375" s="36" t="s">
        <v>12</v>
      </c>
      <c r="E1375" s="37">
        <v>0.34599999999999997</v>
      </c>
      <c r="F1375" s="31">
        <v>20.484999999999999</v>
      </c>
      <c r="G1375" s="34">
        <f t="shared" si="22"/>
        <v>7.0878099999999993</v>
      </c>
      <c r="H1375" s="35"/>
      <c r="I1375" s="31"/>
      <c r="J1375" s="155">
        <v>4</v>
      </c>
    </row>
    <row r="1376" spans="1:10" x14ac:dyDescent="0.3">
      <c r="A1376" s="229"/>
      <c r="B1376" s="224"/>
      <c r="C1376" s="36" t="s">
        <v>458</v>
      </c>
      <c r="D1376" s="36" t="s">
        <v>93</v>
      </c>
      <c r="E1376" s="37">
        <v>1</v>
      </c>
      <c r="F1376" s="34">
        <v>101.9</v>
      </c>
      <c r="G1376" s="34">
        <f t="shared" si="22"/>
        <v>101.9</v>
      </c>
      <c r="H1376" s="35"/>
      <c r="I1376" s="31"/>
      <c r="J1376" s="155">
        <v>4</v>
      </c>
    </row>
    <row r="1377" spans="1:10" ht="15" thickBot="1" x14ac:dyDescent="0.35">
      <c r="A1377" s="230"/>
      <c r="B1377" s="225"/>
      <c r="C1377" s="36"/>
      <c r="D1377" s="36"/>
      <c r="E1377" s="37"/>
      <c r="F1377" s="31" t="s">
        <v>560</v>
      </c>
      <c r="G1377" s="31" t="str">
        <f t="shared" si="22"/>
        <v/>
      </c>
      <c r="H1377" s="35"/>
      <c r="I1377" s="31"/>
      <c r="J1377" s="155">
        <v>4</v>
      </c>
    </row>
    <row r="1378" spans="1:10" ht="15" hidden="1" thickBot="1" x14ac:dyDescent="0.35">
      <c r="A1378" s="226" t="s">
        <v>459</v>
      </c>
      <c r="B1378" s="223" t="e">
        <f>INDEX(#REF!,MATCH(Composições!A1378,#REF!,0),2)</f>
        <v>#REF!</v>
      </c>
      <c r="C1378" s="41"/>
      <c r="D1378" s="26" t="e">
        <f>TRIM(INDEX(#REF!,MATCH(Composições!A1378,#REF!,0),1))</f>
        <v>#REF!</v>
      </c>
      <c r="E1378" s="27"/>
      <c r="F1378" s="42" t="s">
        <v>560</v>
      </c>
      <c r="G1378" s="28" t="str">
        <f t="shared" si="22"/>
        <v/>
      </c>
      <c r="H1378" s="29"/>
      <c r="I1378" s="30"/>
      <c r="J1378" s="155">
        <v>0</v>
      </c>
    </row>
    <row r="1379" spans="1:10" ht="15" hidden="1" thickBot="1" x14ac:dyDescent="0.35">
      <c r="A1379" s="229"/>
      <c r="B1379" s="224"/>
      <c r="C1379" s="32"/>
      <c r="D1379" s="32"/>
      <c r="E1379" s="33"/>
      <c r="F1379" s="43" t="s">
        <v>560</v>
      </c>
      <c r="G1379" s="31" t="str">
        <f t="shared" si="22"/>
        <v/>
      </c>
      <c r="H1379" s="35"/>
      <c r="I1379" s="31"/>
      <c r="J1379" s="155">
        <v>0</v>
      </c>
    </row>
    <row r="1380" spans="1:10" ht="15" hidden="1" thickBot="1" x14ac:dyDescent="0.35">
      <c r="A1380" s="229"/>
      <c r="B1380" s="224"/>
      <c r="C1380" s="36" t="s">
        <v>30</v>
      </c>
      <c r="D1380" s="36" t="s">
        <v>12</v>
      </c>
      <c r="E1380" s="37">
        <v>0.34599999999999997</v>
      </c>
      <c r="F1380" s="31">
        <v>20.484999999999999</v>
      </c>
      <c r="G1380" s="34">
        <f t="shared" si="22"/>
        <v>7.0878099999999993</v>
      </c>
      <c r="H1380" s="39">
        <f>SUM(G1380:G1382)</f>
        <v>59.220911000000001</v>
      </c>
      <c r="I1380" s="40"/>
      <c r="J1380" s="155">
        <v>0</v>
      </c>
    </row>
    <row r="1381" spans="1:10" ht="15" hidden="1" thickBot="1" x14ac:dyDescent="0.35">
      <c r="A1381" s="229"/>
      <c r="B1381" s="224"/>
      <c r="C1381" s="36" t="s">
        <v>23</v>
      </c>
      <c r="D1381" s="36" t="s">
        <v>12</v>
      </c>
      <c r="E1381" s="37">
        <v>0.34599999999999997</v>
      </c>
      <c r="F1381" s="31">
        <v>14.968499999999999</v>
      </c>
      <c r="G1381" s="34">
        <f t="shared" si="22"/>
        <v>5.1791009999999993</v>
      </c>
      <c r="H1381" s="35"/>
      <c r="I1381" s="31"/>
      <c r="J1381" s="155">
        <v>0</v>
      </c>
    </row>
    <row r="1382" spans="1:10" ht="27" hidden="1" thickBot="1" x14ac:dyDescent="0.35">
      <c r="A1382" s="229"/>
      <c r="B1382" s="224"/>
      <c r="C1382" s="36" t="s">
        <v>460</v>
      </c>
      <c r="D1382" s="36" t="s">
        <v>20</v>
      </c>
      <c r="E1382" s="37">
        <v>1</v>
      </c>
      <c r="F1382" s="34">
        <v>46.954000000000001</v>
      </c>
      <c r="G1382" s="31">
        <f t="shared" si="22"/>
        <v>46.954000000000001</v>
      </c>
      <c r="H1382" s="35"/>
      <c r="I1382" s="31"/>
      <c r="J1382" s="155">
        <v>0</v>
      </c>
    </row>
    <row r="1383" spans="1:10" ht="15" hidden="1" thickBot="1" x14ac:dyDescent="0.35">
      <c r="A1383" s="230"/>
      <c r="B1383" s="225"/>
      <c r="C1383" s="36"/>
      <c r="D1383" s="36"/>
      <c r="E1383" s="37"/>
      <c r="F1383" s="31" t="s">
        <v>560</v>
      </c>
      <c r="G1383" s="31" t="str">
        <f t="shared" si="22"/>
        <v/>
      </c>
      <c r="H1383" s="35"/>
      <c r="I1383" s="31"/>
      <c r="J1383" s="155">
        <v>0</v>
      </c>
    </row>
    <row r="1384" spans="1:10" ht="15" hidden="1" thickBot="1" x14ac:dyDescent="0.35">
      <c r="A1384" s="226" t="s">
        <v>461</v>
      </c>
      <c r="B1384" s="223" t="e">
        <f>INDEX(#REF!,MATCH(Composições!A1384,#REF!,0),2)</f>
        <v>#REF!</v>
      </c>
      <c r="C1384" s="41"/>
      <c r="D1384" s="26" t="e">
        <f>TRIM(INDEX(#REF!,MATCH(Composições!A1384,#REF!,0),1))</f>
        <v>#REF!</v>
      </c>
      <c r="E1384" s="27"/>
      <c r="F1384" s="42" t="s">
        <v>560</v>
      </c>
      <c r="G1384" s="28" t="str">
        <f t="shared" si="22"/>
        <v/>
      </c>
      <c r="H1384" s="29"/>
      <c r="I1384" s="30"/>
      <c r="J1384" s="155">
        <v>0</v>
      </c>
    </row>
    <row r="1385" spans="1:10" ht="15" hidden="1" thickBot="1" x14ac:dyDescent="0.35">
      <c r="A1385" s="229"/>
      <c r="B1385" s="224"/>
      <c r="C1385" s="32"/>
      <c r="D1385" s="32"/>
      <c r="E1385" s="33"/>
      <c r="F1385" s="43" t="s">
        <v>560</v>
      </c>
      <c r="G1385" s="31" t="str">
        <f t="shared" si="22"/>
        <v/>
      </c>
      <c r="H1385" s="35"/>
      <c r="I1385" s="31"/>
      <c r="J1385" s="155">
        <v>0</v>
      </c>
    </row>
    <row r="1386" spans="1:10" ht="15" hidden="1" thickBot="1" x14ac:dyDescent="0.35">
      <c r="A1386" s="229"/>
      <c r="B1386" s="224"/>
      <c r="C1386" s="36" t="s">
        <v>30</v>
      </c>
      <c r="D1386" s="36" t="s">
        <v>12</v>
      </c>
      <c r="E1386" s="37">
        <v>0.34599999999999997</v>
      </c>
      <c r="F1386" s="31">
        <v>20.484999999999999</v>
      </c>
      <c r="G1386" s="31">
        <f t="shared" si="22"/>
        <v>7.0878099999999993</v>
      </c>
      <c r="H1386" s="39">
        <f>SUM(G1386:G1388)</f>
        <v>12.599243999999999</v>
      </c>
      <c r="I1386" s="40"/>
      <c r="J1386" s="155">
        <v>0</v>
      </c>
    </row>
    <row r="1387" spans="1:10" ht="15" hidden="1" thickBot="1" x14ac:dyDescent="0.35">
      <c r="A1387" s="229"/>
      <c r="B1387" s="224"/>
      <c r="C1387" s="36" t="s">
        <v>74</v>
      </c>
      <c r="D1387" s="36" t="s">
        <v>12</v>
      </c>
      <c r="E1387" s="37">
        <v>0.34599999999999997</v>
      </c>
      <c r="F1387" s="31">
        <v>15.928999999999998</v>
      </c>
      <c r="G1387" s="31">
        <f t="shared" si="22"/>
        <v>5.5114339999999995</v>
      </c>
      <c r="H1387" s="35"/>
      <c r="I1387" s="31"/>
      <c r="J1387" s="155">
        <v>0</v>
      </c>
    </row>
    <row r="1388" spans="1:10" ht="27" hidden="1" thickBot="1" x14ac:dyDescent="0.35">
      <c r="A1388" s="229"/>
      <c r="B1388" s="224"/>
      <c r="C1388" s="36" t="s">
        <v>462</v>
      </c>
      <c r="D1388" s="47" t="s">
        <v>20</v>
      </c>
      <c r="E1388" s="37">
        <v>1</v>
      </c>
      <c r="F1388" s="34" t="s">
        <v>560</v>
      </c>
      <c r="G1388" s="31" t="str">
        <f t="shared" si="22"/>
        <v/>
      </c>
      <c r="H1388" s="35"/>
      <c r="I1388" s="31"/>
      <c r="J1388" s="155">
        <v>0</v>
      </c>
    </row>
    <row r="1389" spans="1:10" ht="15" hidden="1" thickBot="1" x14ac:dyDescent="0.35">
      <c r="A1389" s="229"/>
      <c r="B1389" s="224"/>
      <c r="C1389" s="36"/>
      <c r="D1389" s="47"/>
      <c r="E1389" s="37"/>
      <c r="F1389" s="34" t="s">
        <v>560</v>
      </c>
      <c r="G1389" s="31" t="str">
        <f t="shared" si="22"/>
        <v/>
      </c>
      <c r="H1389" s="35"/>
      <c r="I1389" s="31"/>
      <c r="J1389" s="155">
        <v>0</v>
      </c>
    </row>
    <row r="1390" spans="1:10" ht="15" hidden="1" thickBot="1" x14ac:dyDescent="0.35">
      <c r="A1390" s="226" t="s">
        <v>463</v>
      </c>
      <c r="B1390" s="223" t="e">
        <f>INDEX(#REF!,MATCH(Composições!A1390,#REF!,0),2)</f>
        <v>#REF!</v>
      </c>
      <c r="C1390" s="41"/>
      <c r="D1390" s="26" t="e">
        <f>TRIM(INDEX(#REF!,MATCH(Composições!A1390,#REF!,0),1))</f>
        <v>#REF!</v>
      </c>
      <c r="E1390" s="27"/>
      <c r="F1390" s="42" t="s">
        <v>560</v>
      </c>
      <c r="G1390" s="28" t="str">
        <f t="shared" si="22"/>
        <v/>
      </c>
      <c r="H1390" s="29"/>
      <c r="I1390" s="30"/>
      <c r="J1390" s="155">
        <v>0</v>
      </c>
    </row>
    <row r="1391" spans="1:10" ht="15" hidden="1" thickBot="1" x14ac:dyDescent="0.35">
      <c r="A1391" s="229"/>
      <c r="B1391" s="224"/>
      <c r="C1391" s="32"/>
      <c r="D1391" s="32"/>
      <c r="E1391" s="33"/>
      <c r="F1391" s="43" t="s">
        <v>560</v>
      </c>
      <c r="G1391" s="31" t="str">
        <f t="shared" si="22"/>
        <v/>
      </c>
      <c r="H1391" s="35"/>
      <c r="I1391" s="31"/>
      <c r="J1391" s="155">
        <v>0</v>
      </c>
    </row>
    <row r="1392" spans="1:10" ht="27" hidden="1" thickBot="1" x14ac:dyDescent="0.35">
      <c r="A1392" s="229"/>
      <c r="B1392" s="224"/>
      <c r="C1392" s="36" t="s">
        <v>464</v>
      </c>
      <c r="D1392" s="36" t="s">
        <v>93</v>
      </c>
      <c r="E1392" s="37">
        <v>1.1499999999999999</v>
      </c>
      <c r="F1392" s="34" t="s">
        <v>560</v>
      </c>
      <c r="G1392" s="34" t="str">
        <f t="shared" si="22"/>
        <v/>
      </c>
      <c r="H1392" s="39">
        <f>SUM(G1392:G1394)</f>
        <v>6.5545199999999992</v>
      </c>
      <c r="I1392" s="40"/>
      <c r="J1392" s="155">
        <v>0</v>
      </c>
    </row>
    <row r="1393" spans="1:10" ht="15" hidden="1" thickBot="1" x14ac:dyDescent="0.35">
      <c r="A1393" s="229"/>
      <c r="B1393" s="224"/>
      <c r="C1393" s="36" t="s">
        <v>74</v>
      </c>
      <c r="D1393" s="47" t="s">
        <v>12</v>
      </c>
      <c r="E1393" s="37">
        <v>0.18</v>
      </c>
      <c r="F1393" s="31">
        <v>15.928999999999998</v>
      </c>
      <c r="G1393" s="34">
        <f t="shared" si="22"/>
        <v>2.8672199999999997</v>
      </c>
      <c r="H1393" s="35"/>
      <c r="I1393" s="31"/>
      <c r="J1393" s="155">
        <v>0</v>
      </c>
    </row>
    <row r="1394" spans="1:10" ht="15" hidden="1" thickBot="1" x14ac:dyDescent="0.35">
      <c r="A1394" s="229"/>
      <c r="B1394" s="224"/>
      <c r="C1394" s="36" t="s">
        <v>30</v>
      </c>
      <c r="D1394" s="36" t="s">
        <v>12</v>
      </c>
      <c r="E1394" s="37">
        <v>0.18</v>
      </c>
      <c r="F1394" s="31">
        <v>20.484999999999999</v>
      </c>
      <c r="G1394" s="34">
        <f t="shared" si="22"/>
        <v>3.6872999999999996</v>
      </c>
      <c r="H1394" s="35"/>
      <c r="I1394" s="31"/>
      <c r="J1394" s="155">
        <v>0</v>
      </c>
    </row>
    <row r="1395" spans="1:10" ht="15" hidden="1" thickBot="1" x14ac:dyDescent="0.35">
      <c r="A1395" s="230"/>
      <c r="B1395" s="225"/>
      <c r="C1395" s="36"/>
      <c r="D1395" s="36"/>
      <c r="E1395" s="37"/>
      <c r="F1395" s="31" t="s">
        <v>560</v>
      </c>
      <c r="G1395" s="31" t="str">
        <f t="shared" si="22"/>
        <v/>
      </c>
      <c r="H1395" s="35"/>
      <c r="I1395" s="31"/>
      <c r="J1395" s="155">
        <v>0</v>
      </c>
    </row>
    <row r="1396" spans="1:10" ht="15" thickBot="1" x14ac:dyDescent="0.35">
      <c r="A1396" s="226" t="s">
        <v>465</v>
      </c>
      <c r="B1396" s="223" t="str">
        <f>INDEX(Orçamentária!A:B,MATCH(Composições!A1396,Orçamentária!A:A,0),2)</f>
        <v>Condulete de alumínio de 1"</v>
      </c>
      <c r="C1396" s="41"/>
      <c r="D1396" s="26" t="str">
        <f>TRIM(INDEX(Orçamentária!C:C,MATCH(Composições!A1396,Orçamentária!A:A,0),1))</f>
        <v>un</v>
      </c>
      <c r="E1396" s="27"/>
      <c r="F1396" s="42" t="s">
        <v>560</v>
      </c>
      <c r="G1396" s="28" t="str">
        <f t="shared" si="22"/>
        <v/>
      </c>
      <c r="H1396" s="29"/>
      <c r="I1396" s="30"/>
      <c r="J1396" s="155">
        <v>155</v>
      </c>
    </row>
    <row r="1397" spans="1:10" x14ac:dyDescent="0.3">
      <c r="A1397" s="229"/>
      <c r="B1397" s="224"/>
      <c r="C1397" s="32"/>
      <c r="D1397" s="32"/>
      <c r="E1397" s="33"/>
      <c r="F1397" s="43" t="s">
        <v>560</v>
      </c>
      <c r="G1397" s="31" t="str">
        <f t="shared" si="22"/>
        <v/>
      </c>
      <c r="H1397" s="35"/>
      <c r="I1397" s="31"/>
      <c r="J1397" s="155">
        <v>155</v>
      </c>
    </row>
    <row r="1398" spans="1:10" x14ac:dyDescent="0.3">
      <c r="A1398" s="229"/>
      <c r="B1398" s="224"/>
      <c r="C1398" s="36" t="s">
        <v>74</v>
      </c>
      <c r="D1398" s="36" t="s">
        <v>12</v>
      </c>
      <c r="E1398" s="37">
        <v>0.53849999999999998</v>
      </c>
      <c r="F1398" s="31">
        <v>15.928999999999998</v>
      </c>
      <c r="G1398" s="34">
        <f t="shared" si="22"/>
        <v>8.5777664999999992</v>
      </c>
      <c r="H1398" s="39">
        <f>SUM(G1398:G1401)</f>
        <v>30.157438999999997</v>
      </c>
      <c r="I1398" s="40"/>
      <c r="J1398" s="155">
        <v>155</v>
      </c>
    </row>
    <row r="1399" spans="1:10" x14ac:dyDescent="0.3">
      <c r="A1399" s="229"/>
      <c r="B1399" s="224"/>
      <c r="C1399" s="36" t="s">
        <v>30</v>
      </c>
      <c r="D1399" s="36" t="s">
        <v>12</v>
      </c>
      <c r="E1399" s="37">
        <v>0.53849999999999998</v>
      </c>
      <c r="F1399" s="31">
        <v>20.484999999999999</v>
      </c>
      <c r="G1399" s="34">
        <f t="shared" si="22"/>
        <v>11.031172499999998</v>
      </c>
      <c r="H1399" s="35"/>
      <c r="I1399" s="31"/>
      <c r="J1399" s="155">
        <v>155</v>
      </c>
    </row>
    <row r="1400" spans="1:10" ht="26.4" x14ac:dyDescent="0.3">
      <c r="A1400" s="229"/>
      <c r="B1400" s="224"/>
      <c r="C1400" s="36" t="s">
        <v>466</v>
      </c>
      <c r="D1400" s="36" t="s">
        <v>20</v>
      </c>
      <c r="E1400" s="37">
        <v>2</v>
      </c>
      <c r="F1400" s="34">
        <v>0.28050000000000003</v>
      </c>
      <c r="G1400" s="34">
        <f t="shared" si="22"/>
        <v>0.56100000000000005</v>
      </c>
      <c r="H1400" s="35"/>
      <c r="I1400" s="31"/>
      <c r="J1400" s="155">
        <v>155</v>
      </c>
    </row>
    <row r="1401" spans="1:10" x14ac:dyDescent="0.3">
      <c r="A1401" s="229"/>
      <c r="B1401" s="224"/>
      <c r="C1401" s="36" t="s">
        <v>467</v>
      </c>
      <c r="D1401" s="36" t="s">
        <v>20</v>
      </c>
      <c r="E1401" s="37">
        <v>1</v>
      </c>
      <c r="F1401" s="34">
        <v>9.9874999999999989</v>
      </c>
      <c r="G1401" s="31">
        <f t="shared" si="22"/>
        <v>9.9874999999999989</v>
      </c>
      <c r="H1401" s="35"/>
      <c r="I1401" s="31"/>
      <c r="J1401" s="155">
        <v>155</v>
      </c>
    </row>
    <row r="1402" spans="1:10" ht="15" thickBot="1" x14ac:dyDescent="0.35">
      <c r="A1402" s="230"/>
      <c r="B1402" s="225"/>
      <c r="C1402" s="36"/>
      <c r="D1402" s="36"/>
      <c r="E1402" s="37"/>
      <c r="F1402" s="31" t="s">
        <v>560</v>
      </c>
      <c r="G1402" s="31" t="str">
        <f t="shared" si="22"/>
        <v/>
      </c>
      <c r="H1402" s="35"/>
      <c r="I1402" s="31"/>
      <c r="J1402" s="155">
        <v>155</v>
      </c>
    </row>
    <row r="1403" spans="1:10" ht="15" hidden="1" thickBot="1" x14ac:dyDescent="0.35">
      <c r="A1403" s="226" t="s">
        <v>468</v>
      </c>
      <c r="B1403" s="223" t="e">
        <f>INDEX(#REF!,MATCH(Composições!A1403,#REF!,0),2)</f>
        <v>#REF!</v>
      </c>
      <c r="C1403" s="41"/>
      <c r="D1403" s="26" t="e">
        <f>TRIM(INDEX(#REF!,MATCH(Composições!A1403,#REF!,0),1))</f>
        <v>#REF!</v>
      </c>
      <c r="E1403" s="27"/>
      <c r="F1403" s="42" t="s">
        <v>560</v>
      </c>
      <c r="G1403" s="28" t="str">
        <f t="shared" si="22"/>
        <v/>
      </c>
      <c r="H1403" s="29"/>
      <c r="I1403" s="30"/>
      <c r="J1403" s="155">
        <v>0</v>
      </c>
    </row>
    <row r="1404" spans="1:10" ht="15" hidden="1" thickBot="1" x14ac:dyDescent="0.35">
      <c r="A1404" s="229"/>
      <c r="B1404" s="224"/>
      <c r="C1404" s="32"/>
      <c r="D1404" s="32"/>
      <c r="E1404" s="33"/>
      <c r="F1404" s="43" t="s">
        <v>560</v>
      </c>
      <c r="G1404" s="31" t="str">
        <f t="shared" si="22"/>
        <v/>
      </c>
      <c r="H1404" s="35"/>
      <c r="I1404" s="31"/>
      <c r="J1404" s="155">
        <v>0</v>
      </c>
    </row>
    <row r="1405" spans="1:10" ht="15" hidden="1" thickBot="1" x14ac:dyDescent="0.35">
      <c r="A1405" s="229"/>
      <c r="B1405" s="224"/>
      <c r="C1405" s="36" t="s">
        <v>30</v>
      </c>
      <c r="D1405" s="36" t="s">
        <v>12</v>
      </c>
      <c r="E1405" s="37">
        <v>0.45</v>
      </c>
      <c r="F1405" s="31">
        <v>20.484999999999999</v>
      </c>
      <c r="G1405" s="31">
        <f t="shared" si="22"/>
        <v>9.2182499999999994</v>
      </c>
      <c r="H1405" s="39">
        <f>SUM(G1405:G1416)</f>
        <v>30.378170399999998</v>
      </c>
      <c r="I1405" s="40"/>
      <c r="J1405" s="155">
        <v>0</v>
      </c>
    </row>
    <row r="1406" spans="1:10" ht="15" hidden="1" thickBot="1" x14ac:dyDescent="0.35">
      <c r="A1406" s="229"/>
      <c r="B1406" s="224"/>
      <c r="C1406" s="36" t="s">
        <v>74</v>
      </c>
      <c r="D1406" s="47" t="s">
        <v>12</v>
      </c>
      <c r="E1406" s="37">
        <v>0.45</v>
      </c>
      <c r="F1406" s="31">
        <v>15.928999999999998</v>
      </c>
      <c r="G1406" s="31">
        <f t="shared" si="22"/>
        <v>7.1680499999999991</v>
      </c>
      <c r="H1406" s="35"/>
      <c r="I1406" s="31"/>
      <c r="J1406" s="155">
        <v>0</v>
      </c>
    </row>
    <row r="1407" spans="1:10" ht="27" hidden="1" thickBot="1" x14ac:dyDescent="0.35">
      <c r="A1407" s="229"/>
      <c r="B1407" s="224"/>
      <c r="C1407" s="36" t="s">
        <v>469</v>
      </c>
      <c r="D1407" s="36" t="s">
        <v>147</v>
      </c>
      <c r="E1407" s="37">
        <v>0.67</v>
      </c>
      <c r="F1407" s="31">
        <v>7.6669999999999998</v>
      </c>
      <c r="G1407" s="31">
        <f t="shared" si="22"/>
        <v>5.1368900000000002</v>
      </c>
      <c r="H1407" s="62"/>
      <c r="I1407" s="1"/>
      <c r="J1407" s="155">
        <v>0</v>
      </c>
    </row>
    <row r="1408" spans="1:10" ht="27" hidden="1" thickBot="1" x14ac:dyDescent="0.35">
      <c r="A1408" s="229"/>
      <c r="B1408" s="224"/>
      <c r="C1408" s="36" t="s">
        <v>470</v>
      </c>
      <c r="D1408" s="36" t="s">
        <v>93</v>
      </c>
      <c r="E1408" s="37">
        <v>1.05</v>
      </c>
      <c r="F1408" s="34" t="s">
        <v>560</v>
      </c>
      <c r="G1408" s="31" t="str">
        <f t="shared" si="22"/>
        <v/>
      </c>
      <c r="H1408" s="35"/>
      <c r="I1408" s="31"/>
      <c r="J1408" s="155">
        <v>0</v>
      </c>
    </row>
    <row r="1409" spans="1:10" ht="15" hidden="1" thickBot="1" x14ac:dyDescent="0.35">
      <c r="A1409" s="229"/>
      <c r="B1409" s="224"/>
      <c r="C1409" s="36" t="s">
        <v>471</v>
      </c>
      <c r="D1409" s="36" t="s">
        <v>93</v>
      </c>
      <c r="E1409" s="37">
        <v>0.8</v>
      </c>
      <c r="F1409" s="31">
        <v>6.1709999999999994</v>
      </c>
      <c r="G1409" s="31">
        <f t="shared" si="22"/>
        <v>4.9367999999999999</v>
      </c>
      <c r="H1409" s="35"/>
      <c r="I1409" s="31"/>
      <c r="J1409" s="155">
        <v>0</v>
      </c>
    </row>
    <row r="1410" spans="1:10" ht="15" hidden="1" thickBot="1" x14ac:dyDescent="0.35">
      <c r="A1410" s="229"/>
      <c r="B1410" s="224"/>
      <c r="C1410" s="36" t="s">
        <v>472</v>
      </c>
      <c r="D1410" s="36" t="s">
        <v>292</v>
      </c>
      <c r="E1410" s="37">
        <v>4.0033000000000003</v>
      </c>
      <c r="F1410" s="34">
        <v>0.17</v>
      </c>
      <c r="G1410" s="31">
        <f t="shared" si="22"/>
        <v>0.68056100000000008</v>
      </c>
      <c r="H1410" s="35"/>
      <c r="I1410" s="31"/>
      <c r="J1410" s="155">
        <v>0</v>
      </c>
    </row>
    <row r="1411" spans="1:10" ht="15" hidden="1" thickBot="1" x14ac:dyDescent="0.35">
      <c r="A1411" s="229"/>
      <c r="B1411" s="224"/>
      <c r="C1411" s="36" t="s">
        <v>473</v>
      </c>
      <c r="D1411" s="36" t="s">
        <v>147</v>
      </c>
      <c r="E1411" s="37">
        <v>4.0033000000000003</v>
      </c>
      <c r="F1411" s="31">
        <v>6.8000000000000005E-2</v>
      </c>
      <c r="G1411" s="31">
        <f t="shared" si="22"/>
        <v>0.27222440000000003</v>
      </c>
      <c r="H1411" s="35"/>
      <c r="I1411" s="31"/>
      <c r="J1411" s="155">
        <v>0</v>
      </c>
    </row>
    <row r="1412" spans="1:10" ht="15" hidden="1" thickBot="1" x14ac:dyDescent="0.35">
      <c r="A1412" s="229"/>
      <c r="B1412" s="224"/>
      <c r="C1412" s="36" t="s">
        <v>474</v>
      </c>
      <c r="D1412" s="36" t="s">
        <v>147</v>
      </c>
      <c r="E1412" s="37">
        <v>0.67</v>
      </c>
      <c r="F1412" s="31">
        <v>0</v>
      </c>
      <c r="G1412" s="31">
        <f t="shared" si="22"/>
        <v>0</v>
      </c>
      <c r="H1412" s="35"/>
      <c r="I1412" s="31"/>
      <c r="J1412" s="155">
        <v>0</v>
      </c>
    </row>
    <row r="1413" spans="1:10" ht="15" hidden="1" thickBot="1" x14ac:dyDescent="0.35">
      <c r="A1413" s="229"/>
      <c r="B1413" s="224"/>
      <c r="C1413" s="36" t="s">
        <v>475</v>
      </c>
      <c r="D1413" s="36" t="s">
        <v>147</v>
      </c>
      <c r="E1413" s="37">
        <v>1.05</v>
      </c>
      <c r="F1413" s="31">
        <v>1.9379999999999997</v>
      </c>
      <c r="G1413" s="31">
        <f t="shared" si="22"/>
        <v>2.0348999999999999</v>
      </c>
      <c r="H1413" s="35"/>
      <c r="I1413" s="31"/>
      <c r="J1413" s="155">
        <v>0</v>
      </c>
    </row>
    <row r="1414" spans="1:10" ht="15" hidden="1" thickBot="1" x14ac:dyDescent="0.35">
      <c r="A1414" s="229"/>
      <c r="B1414" s="224"/>
      <c r="C1414" s="36" t="s">
        <v>476</v>
      </c>
      <c r="D1414" s="36" t="s">
        <v>20</v>
      </c>
      <c r="E1414" s="37">
        <v>2.67</v>
      </c>
      <c r="F1414" s="31">
        <v>0.34849999999999998</v>
      </c>
      <c r="G1414" s="31">
        <f t="shared" si="22"/>
        <v>0.93049499999999996</v>
      </c>
      <c r="H1414" s="35"/>
      <c r="I1414" s="31"/>
      <c r="J1414" s="155">
        <v>0</v>
      </c>
    </row>
    <row r="1415" spans="1:10" ht="15" hidden="1" thickBot="1" x14ac:dyDescent="0.35">
      <c r="A1415" s="229"/>
      <c r="B1415" s="224"/>
      <c r="C1415" s="36" t="s">
        <v>477</v>
      </c>
      <c r="D1415" s="36" t="s">
        <v>147</v>
      </c>
      <c r="E1415" s="37">
        <v>0.66669999999999996</v>
      </c>
      <c r="F1415" s="31">
        <v>0</v>
      </c>
      <c r="G1415" s="31">
        <f t="shared" si="22"/>
        <v>0</v>
      </c>
      <c r="H1415" s="35"/>
      <c r="I1415" s="31"/>
      <c r="J1415" s="155">
        <v>0</v>
      </c>
    </row>
    <row r="1416" spans="1:10" ht="27" hidden="1" thickBot="1" x14ac:dyDescent="0.35">
      <c r="A1416" s="229"/>
      <c r="B1416" s="224"/>
      <c r="C1416" s="36" t="s">
        <v>478</v>
      </c>
      <c r="D1416" s="36" t="s">
        <v>93</v>
      </c>
      <c r="E1416" s="37">
        <v>1.05</v>
      </c>
      <c r="F1416" s="34" t="s">
        <v>560</v>
      </c>
      <c r="G1416" s="31" t="str">
        <f t="shared" si="22"/>
        <v/>
      </c>
      <c r="H1416" s="35"/>
      <c r="I1416" s="31"/>
      <c r="J1416" s="155">
        <v>0</v>
      </c>
    </row>
    <row r="1417" spans="1:10" ht="15" hidden="1" thickBot="1" x14ac:dyDescent="0.35">
      <c r="A1417" s="230"/>
      <c r="B1417" s="225"/>
      <c r="C1417" s="36"/>
      <c r="D1417" s="36"/>
      <c r="E1417" s="37"/>
      <c r="F1417" s="31" t="s">
        <v>560</v>
      </c>
      <c r="G1417" s="31" t="str">
        <f t="shared" si="22"/>
        <v/>
      </c>
      <c r="H1417" s="35"/>
      <c r="I1417" s="31"/>
      <c r="J1417" s="155">
        <v>0</v>
      </c>
    </row>
    <row r="1418" spans="1:10" ht="15" hidden="1" thickBot="1" x14ac:dyDescent="0.35">
      <c r="A1418" s="226" t="s">
        <v>479</v>
      </c>
      <c r="B1418" s="223" t="e">
        <f>INDEX(#REF!,MATCH(Composições!A1418,#REF!,0),2)</f>
        <v>#REF!</v>
      </c>
      <c r="C1418" s="41"/>
      <c r="D1418" s="26" t="e">
        <f>TRIM(INDEX(#REF!,MATCH(Composições!A1418,#REF!,0),1))</f>
        <v>#REF!</v>
      </c>
      <c r="E1418" s="27"/>
      <c r="F1418" s="42" t="s">
        <v>560</v>
      </c>
      <c r="G1418" s="28" t="str">
        <f t="shared" si="22"/>
        <v/>
      </c>
      <c r="H1418" s="29"/>
      <c r="I1418" s="30"/>
      <c r="J1418" s="155">
        <v>0</v>
      </c>
    </row>
    <row r="1419" spans="1:10" ht="15" hidden="1" thickBot="1" x14ac:dyDescent="0.35">
      <c r="A1419" s="229"/>
      <c r="B1419" s="224"/>
      <c r="C1419" s="32"/>
      <c r="D1419" s="32"/>
      <c r="E1419" s="33"/>
      <c r="F1419" s="43" t="s">
        <v>560</v>
      </c>
      <c r="G1419" s="31" t="str">
        <f t="shared" si="22"/>
        <v/>
      </c>
      <c r="H1419" s="35"/>
      <c r="I1419" s="31"/>
      <c r="J1419" s="155">
        <v>0</v>
      </c>
    </row>
    <row r="1420" spans="1:10" ht="15" hidden="1" thickBot="1" x14ac:dyDescent="0.35">
      <c r="A1420" s="229"/>
      <c r="B1420" s="224"/>
      <c r="C1420" s="36" t="s">
        <v>30</v>
      </c>
      <c r="D1420" s="36" t="s">
        <v>12</v>
      </c>
      <c r="E1420" s="37">
        <v>0.6</v>
      </c>
      <c r="F1420" s="31">
        <v>20.484999999999999</v>
      </c>
      <c r="G1420" s="31">
        <f t="shared" si="22"/>
        <v>12.290999999999999</v>
      </c>
      <c r="H1420" s="39">
        <f>SUM(G1420:G1431)</f>
        <v>46.729200499999997</v>
      </c>
      <c r="I1420" s="40"/>
      <c r="J1420" s="155">
        <v>0</v>
      </c>
    </row>
    <row r="1421" spans="1:10" ht="15" hidden="1" thickBot="1" x14ac:dyDescent="0.35">
      <c r="A1421" s="229"/>
      <c r="B1421" s="224"/>
      <c r="C1421" s="36" t="s">
        <v>74</v>
      </c>
      <c r="D1421" s="47" t="s">
        <v>12</v>
      </c>
      <c r="E1421" s="37">
        <v>0.6</v>
      </c>
      <c r="F1421" s="31">
        <v>15.928999999999998</v>
      </c>
      <c r="G1421" s="31">
        <f t="shared" si="22"/>
        <v>9.5573999999999995</v>
      </c>
      <c r="H1421" s="35"/>
      <c r="I1421" s="31"/>
      <c r="J1421" s="155">
        <v>0</v>
      </c>
    </row>
    <row r="1422" spans="1:10" ht="27" hidden="1" thickBot="1" x14ac:dyDescent="0.35">
      <c r="A1422" s="229"/>
      <c r="B1422" s="224"/>
      <c r="C1422" s="36" t="s">
        <v>469</v>
      </c>
      <c r="D1422" s="36" t="s">
        <v>147</v>
      </c>
      <c r="E1422" s="37">
        <v>1.3332999999999999</v>
      </c>
      <c r="F1422" s="31">
        <v>7.6669999999999998</v>
      </c>
      <c r="G1422" s="31">
        <f t="shared" si="22"/>
        <v>10.222411099999999</v>
      </c>
      <c r="H1422" s="62"/>
      <c r="I1422" s="1"/>
      <c r="J1422" s="155">
        <v>0</v>
      </c>
    </row>
    <row r="1423" spans="1:10" ht="27" hidden="1" thickBot="1" x14ac:dyDescent="0.35">
      <c r="A1423" s="229"/>
      <c r="B1423" s="224"/>
      <c r="C1423" s="36" t="s">
        <v>480</v>
      </c>
      <c r="D1423" s="36" t="s">
        <v>93</v>
      </c>
      <c r="E1423" s="37">
        <v>1.05</v>
      </c>
      <c r="F1423" s="34" t="s">
        <v>560</v>
      </c>
      <c r="G1423" s="31" t="str">
        <f t="shared" si="22"/>
        <v/>
      </c>
      <c r="H1423" s="35"/>
      <c r="I1423" s="31"/>
      <c r="J1423" s="155">
        <v>0</v>
      </c>
    </row>
    <row r="1424" spans="1:10" ht="15" hidden="1" thickBot="1" x14ac:dyDescent="0.35">
      <c r="A1424" s="229"/>
      <c r="B1424" s="224"/>
      <c r="C1424" s="36" t="s">
        <v>471</v>
      </c>
      <c r="D1424" s="36" t="s">
        <v>93</v>
      </c>
      <c r="E1424" s="37">
        <v>1.6</v>
      </c>
      <c r="F1424" s="31">
        <v>6.1709999999999994</v>
      </c>
      <c r="G1424" s="31">
        <f t="shared" si="22"/>
        <v>9.8735999999999997</v>
      </c>
      <c r="H1424" s="35"/>
      <c r="I1424" s="31"/>
      <c r="J1424" s="155">
        <v>0</v>
      </c>
    </row>
    <row r="1425" spans="1:10" ht="15" hidden="1" thickBot="1" x14ac:dyDescent="0.35">
      <c r="A1425" s="229"/>
      <c r="B1425" s="224"/>
      <c r="C1425" s="36" t="s">
        <v>472</v>
      </c>
      <c r="D1425" s="36" t="s">
        <v>292</v>
      </c>
      <c r="E1425" s="37">
        <v>5.3367000000000004</v>
      </c>
      <c r="F1425" s="34">
        <v>0.17</v>
      </c>
      <c r="G1425" s="31">
        <f t="shared" si="22"/>
        <v>0.90723900000000013</v>
      </c>
      <c r="H1425" s="35"/>
      <c r="I1425" s="31"/>
      <c r="J1425" s="155">
        <v>0</v>
      </c>
    </row>
    <row r="1426" spans="1:10" ht="15" hidden="1" thickBot="1" x14ac:dyDescent="0.35">
      <c r="A1426" s="229"/>
      <c r="B1426" s="224"/>
      <c r="C1426" s="36" t="s">
        <v>473</v>
      </c>
      <c r="D1426" s="36" t="s">
        <v>147</v>
      </c>
      <c r="E1426" s="37">
        <v>5.34</v>
      </c>
      <c r="F1426" s="31">
        <v>6.8000000000000005E-2</v>
      </c>
      <c r="G1426" s="31">
        <f t="shared" ref="G1426:G1489" si="23">IF(ISNUMBER(F1426),E1426*F1426,"")</f>
        <v>0.36312</v>
      </c>
      <c r="H1426" s="35"/>
      <c r="I1426" s="31"/>
      <c r="J1426" s="155">
        <v>0</v>
      </c>
    </row>
    <row r="1427" spans="1:10" ht="15" hidden="1" thickBot="1" x14ac:dyDescent="0.35">
      <c r="A1427" s="229"/>
      <c r="B1427" s="224"/>
      <c r="C1427" s="36" t="s">
        <v>481</v>
      </c>
      <c r="D1427" s="36" t="s">
        <v>147</v>
      </c>
      <c r="E1427" s="37">
        <v>0.67</v>
      </c>
      <c r="F1427" s="31">
        <v>0</v>
      </c>
      <c r="G1427" s="31">
        <f t="shared" si="23"/>
        <v>0</v>
      </c>
      <c r="H1427" s="35"/>
      <c r="I1427" s="31"/>
      <c r="J1427" s="155">
        <v>0</v>
      </c>
    </row>
    <row r="1428" spans="1:10" ht="15" hidden="1" thickBot="1" x14ac:dyDescent="0.35">
      <c r="A1428" s="229"/>
      <c r="B1428" s="224"/>
      <c r="C1428" s="36" t="s">
        <v>475</v>
      </c>
      <c r="D1428" s="36" t="s">
        <v>147</v>
      </c>
      <c r="E1428" s="37">
        <v>1.3332999999999999</v>
      </c>
      <c r="F1428" s="31">
        <v>1.9379999999999997</v>
      </c>
      <c r="G1428" s="31">
        <f t="shared" si="23"/>
        <v>2.5839353999999997</v>
      </c>
      <c r="H1428" s="35"/>
      <c r="I1428" s="31"/>
      <c r="J1428" s="155">
        <v>0</v>
      </c>
    </row>
    <row r="1429" spans="1:10" ht="15" hidden="1" thickBot="1" x14ac:dyDescent="0.35">
      <c r="A1429" s="229"/>
      <c r="B1429" s="224"/>
      <c r="C1429" s="36" t="s">
        <v>476</v>
      </c>
      <c r="D1429" s="36" t="s">
        <v>20</v>
      </c>
      <c r="E1429" s="37">
        <v>2.67</v>
      </c>
      <c r="F1429" s="31">
        <v>0.34849999999999998</v>
      </c>
      <c r="G1429" s="31">
        <f t="shared" si="23"/>
        <v>0.93049499999999996</v>
      </c>
      <c r="H1429" s="35"/>
      <c r="I1429" s="31"/>
      <c r="J1429" s="155">
        <v>0</v>
      </c>
    </row>
    <row r="1430" spans="1:10" ht="15" hidden="1" thickBot="1" x14ac:dyDescent="0.35">
      <c r="A1430" s="229"/>
      <c r="B1430" s="224"/>
      <c r="C1430" s="36" t="s">
        <v>482</v>
      </c>
      <c r="D1430" s="36" t="s">
        <v>147</v>
      </c>
      <c r="E1430" s="37">
        <v>0.67</v>
      </c>
      <c r="F1430" s="31">
        <v>0</v>
      </c>
      <c r="G1430" s="31">
        <f t="shared" si="23"/>
        <v>0</v>
      </c>
      <c r="H1430" s="35"/>
      <c r="I1430" s="31"/>
      <c r="J1430" s="155">
        <v>0</v>
      </c>
    </row>
    <row r="1431" spans="1:10" ht="27" hidden="1" thickBot="1" x14ac:dyDescent="0.35">
      <c r="A1431" s="229"/>
      <c r="B1431" s="224"/>
      <c r="C1431" s="36" t="s">
        <v>483</v>
      </c>
      <c r="D1431" s="36" t="s">
        <v>93</v>
      </c>
      <c r="E1431" s="37">
        <v>1.05</v>
      </c>
      <c r="F1431" s="34" t="s">
        <v>560</v>
      </c>
      <c r="G1431" s="31" t="str">
        <f t="shared" si="23"/>
        <v/>
      </c>
      <c r="H1431" s="35"/>
      <c r="I1431" s="31"/>
      <c r="J1431" s="155">
        <v>0</v>
      </c>
    </row>
    <row r="1432" spans="1:10" ht="15" hidden="1" thickBot="1" x14ac:dyDescent="0.35">
      <c r="A1432" s="230"/>
      <c r="B1432" s="225"/>
      <c r="C1432" s="36"/>
      <c r="D1432" s="36"/>
      <c r="E1432" s="37"/>
      <c r="F1432" s="31" t="s">
        <v>560</v>
      </c>
      <c r="G1432" s="31" t="str">
        <f t="shared" si="23"/>
        <v/>
      </c>
      <c r="H1432" s="35"/>
      <c r="I1432" s="31"/>
      <c r="J1432" s="155">
        <v>0</v>
      </c>
    </row>
    <row r="1433" spans="1:10" ht="15" hidden="1" thickBot="1" x14ac:dyDescent="0.35">
      <c r="A1433" s="226" t="s">
        <v>484</v>
      </c>
      <c r="B1433" s="223" t="e">
        <f>INDEX(#REF!,MATCH(Composições!A1433,#REF!,0),2)</f>
        <v>#REF!</v>
      </c>
      <c r="C1433" s="41"/>
      <c r="D1433" s="26" t="e">
        <f>TRIM(INDEX(#REF!,MATCH(Composições!A1433,#REF!,0),1))</f>
        <v>#REF!</v>
      </c>
      <c r="E1433" s="27"/>
      <c r="F1433" s="42" t="s">
        <v>560</v>
      </c>
      <c r="G1433" s="28" t="str">
        <f t="shared" si="23"/>
        <v/>
      </c>
      <c r="H1433" s="29"/>
      <c r="I1433" s="30"/>
      <c r="J1433" s="155">
        <v>0</v>
      </c>
    </row>
    <row r="1434" spans="1:10" ht="15" hidden="1" thickBot="1" x14ac:dyDescent="0.35">
      <c r="A1434" s="229"/>
      <c r="B1434" s="224"/>
      <c r="C1434" s="32"/>
      <c r="D1434" s="32"/>
      <c r="E1434" s="33"/>
      <c r="F1434" s="43" t="s">
        <v>560</v>
      </c>
      <c r="G1434" s="31" t="str">
        <f t="shared" si="23"/>
        <v/>
      </c>
      <c r="H1434" s="35"/>
      <c r="I1434" s="31"/>
      <c r="J1434" s="155">
        <v>0</v>
      </c>
    </row>
    <row r="1435" spans="1:10" ht="15" hidden="1" thickBot="1" x14ac:dyDescent="0.35">
      <c r="A1435" s="229"/>
      <c r="B1435" s="224"/>
      <c r="C1435" s="36" t="s">
        <v>30</v>
      </c>
      <c r="D1435" s="36" t="s">
        <v>12</v>
      </c>
      <c r="E1435" s="37">
        <v>0.5</v>
      </c>
      <c r="F1435" s="31">
        <v>20.484999999999999</v>
      </c>
      <c r="G1435" s="31">
        <f t="shared" si="23"/>
        <v>10.2425</v>
      </c>
      <c r="H1435" s="39">
        <f>SUM(G1435:G1446)</f>
        <v>43.0878005</v>
      </c>
      <c r="I1435" s="40"/>
      <c r="J1435" s="155">
        <v>0</v>
      </c>
    </row>
    <row r="1436" spans="1:10" ht="15" hidden="1" thickBot="1" x14ac:dyDescent="0.35">
      <c r="A1436" s="229"/>
      <c r="B1436" s="224"/>
      <c r="C1436" s="36" t="s">
        <v>74</v>
      </c>
      <c r="D1436" s="47" t="s">
        <v>12</v>
      </c>
      <c r="E1436" s="37">
        <v>0.5</v>
      </c>
      <c r="F1436" s="31">
        <v>15.928999999999998</v>
      </c>
      <c r="G1436" s="31">
        <f t="shared" si="23"/>
        <v>7.9644999999999992</v>
      </c>
      <c r="H1436" s="35"/>
      <c r="I1436" s="31"/>
      <c r="J1436" s="155">
        <v>0</v>
      </c>
    </row>
    <row r="1437" spans="1:10" ht="27" hidden="1" thickBot="1" x14ac:dyDescent="0.35">
      <c r="A1437" s="229"/>
      <c r="B1437" s="224"/>
      <c r="C1437" s="36" t="s">
        <v>469</v>
      </c>
      <c r="D1437" s="36" t="s">
        <v>147</v>
      </c>
      <c r="E1437" s="37">
        <v>1.3332999999999999</v>
      </c>
      <c r="F1437" s="31">
        <v>7.6669999999999998</v>
      </c>
      <c r="G1437" s="31">
        <f t="shared" si="23"/>
        <v>10.222411099999999</v>
      </c>
      <c r="H1437" s="62"/>
      <c r="I1437" s="1"/>
      <c r="J1437" s="155">
        <v>0</v>
      </c>
    </row>
    <row r="1438" spans="1:10" ht="27" hidden="1" thickBot="1" x14ac:dyDescent="0.35">
      <c r="A1438" s="229"/>
      <c r="B1438" s="224"/>
      <c r="C1438" s="36" t="s">
        <v>485</v>
      </c>
      <c r="D1438" s="36" t="s">
        <v>93</v>
      </c>
      <c r="E1438" s="37">
        <v>1.05</v>
      </c>
      <c r="F1438" s="34" t="s">
        <v>560</v>
      </c>
      <c r="G1438" s="31" t="str">
        <f t="shared" si="23"/>
        <v/>
      </c>
      <c r="H1438" s="35"/>
      <c r="I1438" s="31"/>
      <c r="J1438" s="155">
        <v>0</v>
      </c>
    </row>
    <row r="1439" spans="1:10" ht="15" hidden="1" thickBot="1" x14ac:dyDescent="0.35">
      <c r="A1439" s="229"/>
      <c r="B1439" s="224"/>
      <c r="C1439" s="36" t="s">
        <v>471</v>
      </c>
      <c r="D1439" s="36" t="s">
        <v>93</v>
      </c>
      <c r="E1439" s="37">
        <v>1.6</v>
      </c>
      <c r="F1439" s="31">
        <v>6.1709999999999994</v>
      </c>
      <c r="G1439" s="31">
        <f t="shared" si="23"/>
        <v>9.8735999999999997</v>
      </c>
      <c r="H1439" s="35"/>
      <c r="I1439" s="31"/>
      <c r="J1439" s="155">
        <v>0</v>
      </c>
    </row>
    <row r="1440" spans="1:10" ht="15" hidden="1" thickBot="1" x14ac:dyDescent="0.35">
      <c r="A1440" s="229"/>
      <c r="B1440" s="224"/>
      <c r="C1440" s="36" t="s">
        <v>472</v>
      </c>
      <c r="D1440" s="36" t="s">
        <v>292</v>
      </c>
      <c r="E1440" s="37">
        <v>5.3367000000000004</v>
      </c>
      <c r="F1440" s="34">
        <v>0.17</v>
      </c>
      <c r="G1440" s="31">
        <f t="shared" si="23"/>
        <v>0.90723900000000013</v>
      </c>
      <c r="H1440" s="35"/>
      <c r="I1440" s="31"/>
      <c r="J1440" s="155">
        <v>0</v>
      </c>
    </row>
    <row r="1441" spans="1:10" ht="15" hidden="1" thickBot="1" x14ac:dyDescent="0.35">
      <c r="A1441" s="229"/>
      <c r="B1441" s="224"/>
      <c r="C1441" s="36" t="s">
        <v>473</v>
      </c>
      <c r="D1441" s="36" t="s">
        <v>147</v>
      </c>
      <c r="E1441" s="37">
        <v>5.34</v>
      </c>
      <c r="F1441" s="31">
        <v>6.8000000000000005E-2</v>
      </c>
      <c r="G1441" s="31">
        <f t="shared" si="23"/>
        <v>0.36312</v>
      </c>
      <c r="H1441" s="35"/>
      <c r="I1441" s="31"/>
      <c r="J1441" s="155">
        <v>0</v>
      </c>
    </row>
    <row r="1442" spans="1:10" ht="15" hidden="1" thickBot="1" x14ac:dyDescent="0.35">
      <c r="A1442" s="229"/>
      <c r="B1442" s="224"/>
      <c r="C1442" s="36" t="s">
        <v>486</v>
      </c>
      <c r="D1442" s="36" t="s">
        <v>147</v>
      </c>
      <c r="E1442" s="37">
        <v>0.67</v>
      </c>
      <c r="F1442" s="31">
        <v>0</v>
      </c>
      <c r="G1442" s="31">
        <f t="shared" si="23"/>
        <v>0</v>
      </c>
      <c r="H1442" s="35"/>
      <c r="I1442" s="31"/>
      <c r="J1442" s="155">
        <v>0</v>
      </c>
    </row>
    <row r="1443" spans="1:10" ht="15" hidden="1" thickBot="1" x14ac:dyDescent="0.35">
      <c r="A1443" s="229"/>
      <c r="B1443" s="224"/>
      <c r="C1443" s="36" t="s">
        <v>475</v>
      </c>
      <c r="D1443" s="36" t="s">
        <v>147</v>
      </c>
      <c r="E1443" s="37">
        <v>1.3332999999999999</v>
      </c>
      <c r="F1443" s="31">
        <v>1.9379999999999997</v>
      </c>
      <c r="G1443" s="31">
        <f t="shared" si="23"/>
        <v>2.5839353999999997</v>
      </c>
      <c r="H1443" s="35"/>
      <c r="I1443" s="31"/>
      <c r="J1443" s="155">
        <v>0</v>
      </c>
    </row>
    <row r="1444" spans="1:10" ht="15" hidden="1" thickBot="1" x14ac:dyDescent="0.35">
      <c r="A1444" s="229"/>
      <c r="B1444" s="224"/>
      <c r="C1444" s="36" t="s">
        <v>476</v>
      </c>
      <c r="D1444" s="36" t="s">
        <v>20</v>
      </c>
      <c r="E1444" s="37">
        <v>2.67</v>
      </c>
      <c r="F1444" s="31">
        <v>0.34849999999999998</v>
      </c>
      <c r="G1444" s="31">
        <f t="shared" si="23"/>
        <v>0.93049499999999996</v>
      </c>
      <c r="H1444" s="35"/>
      <c r="I1444" s="31"/>
      <c r="J1444" s="155">
        <v>0</v>
      </c>
    </row>
    <row r="1445" spans="1:10" ht="15" hidden="1" thickBot="1" x14ac:dyDescent="0.35">
      <c r="A1445" s="229"/>
      <c r="B1445" s="224"/>
      <c r="C1445" s="36" t="s">
        <v>477</v>
      </c>
      <c r="D1445" s="36" t="s">
        <v>147</v>
      </c>
      <c r="E1445" s="37">
        <v>0.67</v>
      </c>
      <c r="F1445" s="31">
        <v>0</v>
      </c>
      <c r="G1445" s="31">
        <f t="shared" si="23"/>
        <v>0</v>
      </c>
      <c r="H1445" s="35"/>
      <c r="I1445" s="31"/>
      <c r="J1445" s="155">
        <v>0</v>
      </c>
    </row>
    <row r="1446" spans="1:10" ht="27" hidden="1" thickBot="1" x14ac:dyDescent="0.35">
      <c r="A1446" s="229"/>
      <c r="B1446" s="224"/>
      <c r="C1446" s="36" t="s">
        <v>483</v>
      </c>
      <c r="D1446" s="36" t="s">
        <v>93</v>
      </c>
      <c r="E1446" s="37">
        <v>1.05</v>
      </c>
      <c r="F1446" s="34" t="s">
        <v>560</v>
      </c>
      <c r="G1446" s="31" t="str">
        <f t="shared" si="23"/>
        <v/>
      </c>
      <c r="H1446" s="35"/>
      <c r="I1446" s="31"/>
      <c r="J1446" s="155">
        <v>0</v>
      </c>
    </row>
    <row r="1447" spans="1:10" ht="15" hidden="1" thickBot="1" x14ac:dyDescent="0.35">
      <c r="A1447" s="230"/>
      <c r="B1447" s="225"/>
      <c r="C1447" s="36"/>
      <c r="D1447" s="36"/>
      <c r="E1447" s="37"/>
      <c r="F1447" s="31" t="s">
        <v>560</v>
      </c>
      <c r="G1447" s="31" t="str">
        <f t="shared" si="23"/>
        <v/>
      </c>
      <c r="H1447" s="35"/>
      <c r="I1447" s="31"/>
      <c r="J1447" s="155">
        <v>0</v>
      </c>
    </row>
    <row r="1448" spans="1:10" ht="15" hidden="1" thickBot="1" x14ac:dyDescent="0.35">
      <c r="A1448" s="226" t="s">
        <v>487</v>
      </c>
      <c r="B1448" s="223" t="e">
        <f>INDEX(#REF!,MATCH(Composições!A1448,#REF!,0),2)</f>
        <v>#REF!</v>
      </c>
      <c r="C1448" s="41"/>
      <c r="D1448" s="26" t="e">
        <f>TRIM(INDEX(#REF!,MATCH(Composições!A1448,#REF!,0),1))</f>
        <v>#REF!</v>
      </c>
      <c r="E1448" s="27"/>
      <c r="F1448" s="42" t="s">
        <v>560</v>
      </c>
      <c r="G1448" s="28" t="str">
        <f t="shared" si="23"/>
        <v/>
      </c>
      <c r="H1448" s="29"/>
      <c r="I1448" s="30"/>
      <c r="J1448" s="155">
        <v>0</v>
      </c>
    </row>
    <row r="1449" spans="1:10" ht="15" hidden="1" thickBot="1" x14ac:dyDescent="0.35">
      <c r="A1449" s="229"/>
      <c r="B1449" s="224"/>
      <c r="C1449" s="32"/>
      <c r="D1449" s="32"/>
      <c r="E1449" s="33"/>
      <c r="F1449" s="43" t="s">
        <v>560</v>
      </c>
      <c r="G1449" s="31" t="str">
        <f t="shared" si="23"/>
        <v/>
      </c>
      <c r="H1449" s="35"/>
      <c r="I1449" s="31"/>
      <c r="J1449" s="155">
        <v>0</v>
      </c>
    </row>
    <row r="1450" spans="1:10" ht="15" hidden="1" thickBot="1" x14ac:dyDescent="0.35">
      <c r="A1450" s="229"/>
      <c r="B1450" s="224"/>
      <c r="C1450" s="36" t="s">
        <v>30</v>
      </c>
      <c r="D1450" s="36" t="s">
        <v>12</v>
      </c>
      <c r="E1450" s="37">
        <v>0.65</v>
      </c>
      <c r="F1450" s="31">
        <v>20.484999999999999</v>
      </c>
      <c r="G1450" s="31">
        <f t="shared" si="23"/>
        <v>13.315250000000001</v>
      </c>
      <c r="H1450" s="39">
        <f>SUM(G1450:G1461)</f>
        <v>48.5499005</v>
      </c>
      <c r="I1450" s="40"/>
      <c r="J1450" s="155">
        <v>0</v>
      </c>
    </row>
    <row r="1451" spans="1:10" ht="15" hidden="1" thickBot="1" x14ac:dyDescent="0.35">
      <c r="A1451" s="229"/>
      <c r="B1451" s="224"/>
      <c r="C1451" s="36" t="s">
        <v>74</v>
      </c>
      <c r="D1451" s="47" t="s">
        <v>12</v>
      </c>
      <c r="E1451" s="37">
        <v>0.65</v>
      </c>
      <c r="F1451" s="31">
        <v>15.928999999999998</v>
      </c>
      <c r="G1451" s="31">
        <f t="shared" si="23"/>
        <v>10.35385</v>
      </c>
      <c r="H1451" s="35"/>
      <c r="I1451" s="31"/>
      <c r="J1451" s="155">
        <v>0</v>
      </c>
    </row>
    <row r="1452" spans="1:10" ht="27" hidden="1" thickBot="1" x14ac:dyDescent="0.35">
      <c r="A1452" s="229"/>
      <c r="B1452" s="224"/>
      <c r="C1452" s="36" t="s">
        <v>469</v>
      </c>
      <c r="D1452" s="36" t="s">
        <v>147</v>
      </c>
      <c r="E1452" s="37">
        <v>1.3332999999999999</v>
      </c>
      <c r="F1452" s="31">
        <v>7.6669999999999998</v>
      </c>
      <c r="G1452" s="31">
        <f t="shared" si="23"/>
        <v>10.222411099999999</v>
      </c>
      <c r="H1452" s="62"/>
      <c r="I1452" s="1"/>
      <c r="J1452" s="155">
        <v>0</v>
      </c>
    </row>
    <row r="1453" spans="1:10" ht="27" hidden="1" thickBot="1" x14ac:dyDescent="0.35">
      <c r="A1453" s="229"/>
      <c r="B1453" s="224"/>
      <c r="C1453" s="36" t="s">
        <v>488</v>
      </c>
      <c r="D1453" s="36" t="s">
        <v>93</v>
      </c>
      <c r="E1453" s="37">
        <v>1.05</v>
      </c>
      <c r="F1453" s="34" t="s">
        <v>560</v>
      </c>
      <c r="G1453" s="31" t="str">
        <f t="shared" si="23"/>
        <v/>
      </c>
      <c r="H1453" s="35"/>
      <c r="I1453" s="31"/>
      <c r="J1453" s="155">
        <v>0</v>
      </c>
    </row>
    <row r="1454" spans="1:10" ht="15" hidden="1" thickBot="1" x14ac:dyDescent="0.35">
      <c r="A1454" s="229"/>
      <c r="B1454" s="224"/>
      <c r="C1454" s="36" t="s">
        <v>471</v>
      </c>
      <c r="D1454" s="36" t="s">
        <v>93</v>
      </c>
      <c r="E1454" s="37">
        <v>1.6</v>
      </c>
      <c r="F1454" s="31">
        <v>6.1709999999999994</v>
      </c>
      <c r="G1454" s="31">
        <f t="shared" si="23"/>
        <v>9.8735999999999997</v>
      </c>
      <c r="H1454" s="35"/>
      <c r="I1454" s="31"/>
      <c r="J1454" s="155">
        <v>0</v>
      </c>
    </row>
    <row r="1455" spans="1:10" ht="15" hidden="1" thickBot="1" x14ac:dyDescent="0.35">
      <c r="A1455" s="229"/>
      <c r="B1455" s="224"/>
      <c r="C1455" s="36" t="s">
        <v>472</v>
      </c>
      <c r="D1455" s="36" t="s">
        <v>292</v>
      </c>
      <c r="E1455" s="37">
        <v>5.3367000000000004</v>
      </c>
      <c r="F1455" s="34">
        <v>0.17</v>
      </c>
      <c r="G1455" s="31">
        <f t="shared" si="23"/>
        <v>0.90723900000000013</v>
      </c>
      <c r="H1455" s="35"/>
      <c r="I1455" s="31"/>
      <c r="J1455" s="155">
        <v>0</v>
      </c>
    </row>
    <row r="1456" spans="1:10" ht="15" hidden="1" thickBot="1" x14ac:dyDescent="0.35">
      <c r="A1456" s="229"/>
      <c r="B1456" s="224"/>
      <c r="C1456" s="36" t="s">
        <v>473</v>
      </c>
      <c r="D1456" s="36" t="s">
        <v>147</v>
      </c>
      <c r="E1456" s="37">
        <v>5.34</v>
      </c>
      <c r="F1456" s="31">
        <v>6.8000000000000005E-2</v>
      </c>
      <c r="G1456" s="31">
        <f t="shared" si="23"/>
        <v>0.36312</v>
      </c>
      <c r="H1456" s="35"/>
      <c r="I1456" s="31"/>
      <c r="J1456" s="155">
        <v>0</v>
      </c>
    </row>
    <row r="1457" spans="1:10" ht="15" hidden="1" thickBot="1" x14ac:dyDescent="0.35">
      <c r="A1457" s="229"/>
      <c r="B1457" s="224"/>
      <c r="C1457" s="36" t="s">
        <v>489</v>
      </c>
      <c r="D1457" s="36" t="s">
        <v>147</v>
      </c>
      <c r="E1457" s="37">
        <v>0.67</v>
      </c>
      <c r="F1457" s="31">
        <v>0</v>
      </c>
      <c r="G1457" s="31">
        <f t="shared" si="23"/>
        <v>0</v>
      </c>
      <c r="H1457" s="35"/>
      <c r="I1457" s="31"/>
      <c r="J1457" s="155">
        <v>0</v>
      </c>
    </row>
    <row r="1458" spans="1:10" ht="15" hidden="1" thickBot="1" x14ac:dyDescent="0.35">
      <c r="A1458" s="229"/>
      <c r="B1458" s="224"/>
      <c r="C1458" s="36" t="s">
        <v>475</v>
      </c>
      <c r="D1458" s="36" t="s">
        <v>147</v>
      </c>
      <c r="E1458" s="37">
        <v>1.3332999999999999</v>
      </c>
      <c r="F1458" s="31">
        <v>1.9379999999999997</v>
      </c>
      <c r="G1458" s="31">
        <f t="shared" si="23"/>
        <v>2.5839353999999997</v>
      </c>
      <c r="H1458" s="35"/>
      <c r="I1458" s="31"/>
      <c r="J1458" s="155">
        <v>0</v>
      </c>
    </row>
    <row r="1459" spans="1:10" ht="15" hidden="1" thickBot="1" x14ac:dyDescent="0.35">
      <c r="A1459" s="229"/>
      <c r="B1459" s="224"/>
      <c r="C1459" s="36" t="s">
        <v>476</v>
      </c>
      <c r="D1459" s="36" t="s">
        <v>20</v>
      </c>
      <c r="E1459" s="37">
        <v>2.67</v>
      </c>
      <c r="F1459" s="31">
        <v>0.34849999999999998</v>
      </c>
      <c r="G1459" s="31">
        <f t="shared" si="23"/>
        <v>0.93049499999999996</v>
      </c>
      <c r="H1459" s="35"/>
      <c r="I1459" s="31"/>
      <c r="J1459" s="155">
        <v>0</v>
      </c>
    </row>
    <row r="1460" spans="1:10" ht="15" hidden="1" thickBot="1" x14ac:dyDescent="0.35">
      <c r="A1460" s="229"/>
      <c r="B1460" s="224"/>
      <c r="C1460" s="36" t="s">
        <v>482</v>
      </c>
      <c r="D1460" s="36" t="s">
        <v>147</v>
      </c>
      <c r="E1460" s="37">
        <v>0.67</v>
      </c>
      <c r="F1460" s="31">
        <v>0</v>
      </c>
      <c r="G1460" s="31">
        <f t="shared" si="23"/>
        <v>0</v>
      </c>
      <c r="H1460" s="35"/>
      <c r="I1460" s="31"/>
      <c r="J1460" s="155">
        <v>0</v>
      </c>
    </row>
    <row r="1461" spans="1:10" ht="27" hidden="1" thickBot="1" x14ac:dyDescent="0.35">
      <c r="A1461" s="229"/>
      <c r="B1461" s="224"/>
      <c r="C1461" s="36" t="s">
        <v>490</v>
      </c>
      <c r="D1461" s="36" t="s">
        <v>93</v>
      </c>
      <c r="E1461" s="37">
        <v>1.05</v>
      </c>
      <c r="F1461" s="34" t="s">
        <v>560</v>
      </c>
      <c r="G1461" s="31" t="str">
        <f t="shared" si="23"/>
        <v/>
      </c>
      <c r="H1461" s="35"/>
      <c r="I1461" s="31"/>
      <c r="J1461" s="155">
        <v>0</v>
      </c>
    </row>
    <row r="1462" spans="1:10" ht="15" hidden="1" thickBot="1" x14ac:dyDescent="0.35">
      <c r="A1462" s="230"/>
      <c r="B1462" s="225"/>
      <c r="C1462" s="36"/>
      <c r="D1462" s="36"/>
      <c r="E1462" s="37"/>
      <c r="F1462" s="31" t="s">
        <v>560</v>
      </c>
      <c r="G1462" s="31" t="str">
        <f t="shared" si="23"/>
        <v/>
      </c>
      <c r="H1462" s="35"/>
      <c r="I1462" s="31"/>
      <c r="J1462" s="155">
        <v>0</v>
      </c>
    </row>
    <row r="1463" spans="1:10" ht="15" hidden="1" thickBot="1" x14ac:dyDescent="0.35">
      <c r="A1463" s="226" t="s">
        <v>491</v>
      </c>
      <c r="B1463" s="223" t="e">
        <f>INDEX(#REF!,MATCH(Composições!A1463,#REF!,0),2)</f>
        <v>#REF!</v>
      </c>
      <c r="C1463" s="41"/>
      <c r="D1463" s="26" t="e">
        <f>TRIM(INDEX(#REF!,MATCH(Composições!A1463,#REF!,0),1))</f>
        <v>#REF!</v>
      </c>
      <c r="E1463" s="27"/>
      <c r="F1463" s="42" t="s">
        <v>560</v>
      </c>
      <c r="G1463" s="28" t="str">
        <f t="shared" si="23"/>
        <v/>
      </c>
      <c r="H1463" s="29"/>
      <c r="I1463" s="30"/>
      <c r="J1463" s="155">
        <v>0</v>
      </c>
    </row>
    <row r="1464" spans="1:10" ht="15" hidden="1" thickBot="1" x14ac:dyDescent="0.35">
      <c r="A1464" s="229"/>
      <c r="B1464" s="224"/>
      <c r="C1464" s="32"/>
      <c r="D1464" s="32"/>
      <c r="E1464" s="33"/>
      <c r="F1464" s="43" t="s">
        <v>560</v>
      </c>
      <c r="G1464" s="31" t="str">
        <f t="shared" si="23"/>
        <v/>
      </c>
      <c r="H1464" s="35"/>
      <c r="I1464" s="31"/>
      <c r="J1464" s="155">
        <v>0</v>
      </c>
    </row>
    <row r="1465" spans="1:10" ht="15" hidden="1" thickBot="1" x14ac:dyDescent="0.35">
      <c r="A1465" s="229"/>
      <c r="B1465" s="224"/>
      <c r="C1465" s="36" t="s">
        <v>30</v>
      </c>
      <c r="D1465" s="36" t="s">
        <v>12</v>
      </c>
      <c r="E1465" s="37">
        <v>0.55000000000000004</v>
      </c>
      <c r="F1465" s="31">
        <v>20.484999999999999</v>
      </c>
      <c r="G1465" s="31">
        <f t="shared" si="23"/>
        <v>11.26675</v>
      </c>
      <c r="H1465" s="39">
        <f>SUM(G1465:G1476)</f>
        <v>44.908500499999995</v>
      </c>
      <c r="I1465" s="40"/>
      <c r="J1465" s="155">
        <v>0</v>
      </c>
    </row>
    <row r="1466" spans="1:10" ht="15" hidden="1" thickBot="1" x14ac:dyDescent="0.35">
      <c r="A1466" s="229"/>
      <c r="B1466" s="224"/>
      <c r="C1466" s="36" t="s">
        <v>74</v>
      </c>
      <c r="D1466" s="47" t="s">
        <v>12</v>
      </c>
      <c r="E1466" s="37">
        <v>0.55000000000000004</v>
      </c>
      <c r="F1466" s="31">
        <v>15.928999999999998</v>
      </c>
      <c r="G1466" s="31">
        <f t="shared" si="23"/>
        <v>8.7609499999999993</v>
      </c>
      <c r="H1466" s="35"/>
      <c r="I1466" s="31"/>
      <c r="J1466" s="155">
        <v>0</v>
      </c>
    </row>
    <row r="1467" spans="1:10" ht="27" hidden="1" thickBot="1" x14ac:dyDescent="0.35">
      <c r="A1467" s="229"/>
      <c r="B1467" s="224"/>
      <c r="C1467" s="36" t="s">
        <v>469</v>
      </c>
      <c r="D1467" s="36" t="s">
        <v>147</v>
      </c>
      <c r="E1467" s="37">
        <v>1.3332999999999999</v>
      </c>
      <c r="F1467" s="31">
        <v>7.6669999999999998</v>
      </c>
      <c r="G1467" s="31">
        <f t="shared" si="23"/>
        <v>10.222411099999999</v>
      </c>
      <c r="H1467" s="62"/>
      <c r="I1467" s="1"/>
      <c r="J1467" s="155">
        <v>0</v>
      </c>
    </row>
    <row r="1468" spans="1:10" ht="27" hidden="1" thickBot="1" x14ac:dyDescent="0.35">
      <c r="A1468" s="229"/>
      <c r="B1468" s="224"/>
      <c r="C1468" s="36" t="s">
        <v>492</v>
      </c>
      <c r="D1468" s="36" t="s">
        <v>93</v>
      </c>
      <c r="E1468" s="37">
        <v>1.05</v>
      </c>
      <c r="F1468" s="34" t="s">
        <v>560</v>
      </c>
      <c r="G1468" s="31" t="str">
        <f t="shared" si="23"/>
        <v/>
      </c>
      <c r="H1468" s="35"/>
      <c r="I1468" s="31"/>
      <c r="J1468" s="155">
        <v>0</v>
      </c>
    </row>
    <row r="1469" spans="1:10" ht="15" hidden="1" thickBot="1" x14ac:dyDescent="0.35">
      <c r="A1469" s="229"/>
      <c r="B1469" s="224"/>
      <c r="C1469" s="36" t="s">
        <v>471</v>
      </c>
      <c r="D1469" s="36" t="s">
        <v>93</v>
      </c>
      <c r="E1469" s="37">
        <v>1.6</v>
      </c>
      <c r="F1469" s="31">
        <v>6.1709999999999994</v>
      </c>
      <c r="G1469" s="31">
        <f t="shared" si="23"/>
        <v>9.8735999999999997</v>
      </c>
      <c r="H1469" s="35"/>
      <c r="I1469" s="31"/>
      <c r="J1469" s="155">
        <v>0</v>
      </c>
    </row>
    <row r="1470" spans="1:10" ht="15" hidden="1" thickBot="1" x14ac:dyDescent="0.35">
      <c r="A1470" s="229"/>
      <c r="B1470" s="224"/>
      <c r="C1470" s="36" t="s">
        <v>472</v>
      </c>
      <c r="D1470" s="36" t="s">
        <v>292</v>
      </c>
      <c r="E1470" s="37">
        <v>5.3367000000000004</v>
      </c>
      <c r="F1470" s="34">
        <v>0.17</v>
      </c>
      <c r="G1470" s="31">
        <f t="shared" si="23"/>
        <v>0.90723900000000013</v>
      </c>
      <c r="H1470" s="35"/>
      <c r="I1470" s="31"/>
      <c r="J1470" s="155">
        <v>0</v>
      </c>
    </row>
    <row r="1471" spans="1:10" ht="15" hidden="1" thickBot="1" x14ac:dyDescent="0.35">
      <c r="A1471" s="229"/>
      <c r="B1471" s="224"/>
      <c r="C1471" s="36" t="s">
        <v>473</v>
      </c>
      <c r="D1471" s="36" t="s">
        <v>147</v>
      </c>
      <c r="E1471" s="37">
        <v>5.34</v>
      </c>
      <c r="F1471" s="31">
        <v>6.8000000000000005E-2</v>
      </c>
      <c r="G1471" s="31">
        <f t="shared" si="23"/>
        <v>0.36312</v>
      </c>
      <c r="H1471" s="35"/>
      <c r="I1471" s="31"/>
      <c r="J1471" s="155">
        <v>0</v>
      </c>
    </row>
    <row r="1472" spans="1:10" ht="15" hidden="1" thickBot="1" x14ac:dyDescent="0.35">
      <c r="A1472" s="229"/>
      <c r="B1472" s="224"/>
      <c r="C1472" s="36" t="s">
        <v>493</v>
      </c>
      <c r="D1472" s="36" t="s">
        <v>147</v>
      </c>
      <c r="E1472" s="37">
        <v>0.67</v>
      </c>
      <c r="F1472" s="31">
        <v>0</v>
      </c>
      <c r="G1472" s="31">
        <f t="shared" si="23"/>
        <v>0</v>
      </c>
      <c r="H1472" s="35"/>
      <c r="I1472" s="31"/>
      <c r="J1472" s="155">
        <v>0</v>
      </c>
    </row>
    <row r="1473" spans="1:10" ht="15" hidden="1" thickBot="1" x14ac:dyDescent="0.35">
      <c r="A1473" s="229"/>
      <c r="B1473" s="224"/>
      <c r="C1473" s="36" t="s">
        <v>475</v>
      </c>
      <c r="D1473" s="36" t="s">
        <v>147</v>
      </c>
      <c r="E1473" s="37">
        <v>1.3332999999999999</v>
      </c>
      <c r="F1473" s="31">
        <v>1.9379999999999997</v>
      </c>
      <c r="G1473" s="31">
        <f t="shared" si="23"/>
        <v>2.5839353999999997</v>
      </c>
      <c r="H1473" s="35"/>
      <c r="I1473" s="31"/>
      <c r="J1473" s="155">
        <v>0</v>
      </c>
    </row>
    <row r="1474" spans="1:10" ht="15" hidden="1" thickBot="1" x14ac:dyDescent="0.35">
      <c r="A1474" s="229"/>
      <c r="B1474" s="224"/>
      <c r="C1474" s="36" t="s">
        <v>476</v>
      </c>
      <c r="D1474" s="36" t="s">
        <v>20</v>
      </c>
      <c r="E1474" s="37">
        <v>2.67</v>
      </c>
      <c r="F1474" s="31">
        <v>0.34849999999999998</v>
      </c>
      <c r="G1474" s="31">
        <f t="shared" si="23"/>
        <v>0.93049499999999996</v>
      </c>
      <c r="H1474" s="35"/>
      <c r="I1474" s="31"/>
      <c r="J1474" s="155">
        <v>0</v>
      </c>
    </row>
    <row r="1475" spans="1:10" ht="15" hidden="1" thickBot="1" x14ac:dyDescent="0.35">
      <c r="A1475" s="229"/>
      <c r="B1475" s="224"/>
      <c r="C1475" s="36" t="s">
        <v>477</v>
      </c>
      <c r="D1475" s="36" t="s">
        <v>147</v>
      </c>
      <c r="E1475" s="37">
        <v>0.67</v>
      </c>
      <c r="F1475" s="31">
        <v>0</v>
      </c>
      <c r="G1475" s="31">
        <f t="shared" si="23"/>
        <v>0</v>
      </c>
      <c r="H1475" s="35"/>
      <c r="I1475" s="31"/>
      <c r="J1475" s="155">
        <v>0</v>
      </c>
    </row>
    <row r="1476" spans="1:10" ht="27" hidden="1" thickBot="1" x14ac:dyDescent="0.35">
      <c r="A1476" s="229"/>
      <c r="B1476" s="224"/>
      <c r="C1476" s="36" t="s">
        <v>490</v>
      </c>
      <c r="D1476" s="36" t="s">
        <v>93</v>
      </c>
      <c r="E1476" s="37">
        <v>1.05</v>
      </c>
      <c r="F1476" s="34" t="s">
        <v>560</v>
      </c>
      <c r="G1476" s="31" t="str">
        <f t="shared" si="23"/>
        <v/>
      </c>
      <c r="H1476" s="35"/>
      <c r="I1476" s="31"/>
      <c r="J1476" s="155">
        <v>0</v>
      </c>
    </row>
    <row r="1477" spans="1:10" ht="15" hidden="1" thickBot="1" x14ac:dyDescent="0.35">
      <c r="A1477" s="230"/>
      <c r="B1477" s="225"/>
      <c r="C1477" s="36"/>
      <c r="D1477" s="36"/>
      <c r="E1477" s="37"/>
      <c r="F1477" s="31" t="s">
        <v>560</v>
      </c>
      <c r="G1477" s="31" t="str">
        <f t="shared" si="23"/>
        <v/>
      </c>
      <c r="H1477" s="35"/>
      <c r="I1477" s="31"/>
      <c r="J1477" s="155">
        <v>0</v>
      </c>
    </row>
    <row r="1478" spans="1:10" ht="15" hidden="1" thickBot="1" x14ac:dyDescent="0.35">
      <c r="A1478" s="226" t="s">
        <v>494</v>
      </c>
      <c r="B1478" s="223" t="e">
        <f>INDEX(#REF!,MATCH(Composições!A1478,#REF!,0),2)</f>
        <v>#REF!</v>
      </c>
      <c r="C1478" s="41"/>
      <c r="D1478" s="26" t="e">
        <f>TRIM(INDEX(#REF!,MATCH(Composições!A1478,#REF!,0),1))</f>
        <v>#REF!</v>
      </c>
      <c r="E1478" s="27"/>
      <c r="F1478" s="42" t="s">
        <v>560</v>
      </c>
      <c r="G1478" s="28" t="str">
        <f t="shared" si="23"/>
        <v/>
      </c>
      <c r="H1478" s="29"/>
      <c r="I1478" s="30"/>
      <c r="J1478" s="155">
        <v>0</v>
      </c>
    </row>
    <row r="1479" spans="1:10" ht="15" hidden="1" thickBot="1" x14ac:dyDescent="0.35">
      <c r="A1479" s="229"/>
      <c r="B1479" s="224"/>
      <c r="C1479" s="32"/>
      <c r="D1479" s="32"/>
      <c r="E1479" s="33"/>
      <c r="F1479" s="43" t="s">
        <v>560</v>
      </c>
      <c r="G1479" s="31" t="str">
        <f t="shared" si="23"/>
        <v/>
      </c>
      <c r="H1479" s="35"/>
      <c r="I1479" s="31"/>
      <c r="J1479" s="155">
        <v>0</v>
      </c>
    </row>
    <row r="1480" spans="1:10" ht="15" hidden="1" thickBot="1" x14ac:dyDescent="0.35">
      <c r="A1480" s="229"/>
      <c r="B1480" s="224"/>
      <c r="C1480" s="36" t="s">
        <v>30</v>
      </c>
      <c r="D1480" s="36" t="s">
        <v>12</v>
      </c>
      <c r="E1480" s="37">
        <v>0.55000000000000004</v>
      </c>
      <c r="F1480" s="31">
        <v>20.484999999999999</v>
      </c>
      <c r="G1480" s="31">
        <f t="shared" si="23"/>
        <v>11.26675</v>
      </c>
      <c r="H1480" s="39">
        <f>SUM(G1480:G1491)</f>
        <v>50.045390499999996</v>
      </c>
      <c r="I1480" s="40"/>
      <c r="J1480" s="155">
        <v>0</v>
      </c>
    </row>
    <row r="1481" spans="1:10" ht="15" hidden="1" thickBot="1" x14ac:dyDescent="0.35">
      <c r="A1481" s="229"/>
      <c r="B1481" s="224"/>
      <c r="C1481" s="36" t="s">
        <v>74</v>
      </c>
      <c r="D1481" s="47" t="s">
        <v>12</v>
      </c>
      <c r="E1481" s="37">
        <v>0.55000000000000004</v>
      </c>
      <c r="F1481" s="31">
        <v>15.928999999999998</v>
      </c>
      <c r="G1481" s="31">
        <f t="shared" si="23"/>
        <v>8.7609499999999993</v>
      </c>
      <c r="H1481" s="35"/>
      <c r="I1481" s="31"/>
      <c r="J1481" s="155">
        <v>0</v>
      </c>
    </row>
    <row r="1482" spans="1:10" ht="27" hidden="1" thickBot="1" x14ac:dyDescent="0.35">
      <c r="A1482" s="229"/>
      <c r="B1482" s="224"/>
      <c r="C1482" s="36" t="s">
        <v>469</v>
      </c>
      <c r="D1482" s="36" t="s">
        <v>147</v>
      </c>
      <c r="E1482" s="37">
        <v>1.3332999999999999</v>
      </c>
      <c r="F1482" s="31">
        <v>7.6669999999999998</v>
      </c>
      <c r="G1482" s="31">
        <f t="shared" si="23"/>
        <v>10.222411099999999</v>
      </c>
      <c r="H1482" s="62"/>
      <c r="I1482" s="1"/>
      <c r="J1482" s="155">
        <v>0</v>
      </c>
    </row>
    <row r="1483" spans="1:10" ht="27" hidden="1" thickBot="1" x14ac:dyDescent="0.35">
      <c r="A1483" s="229"/>
      <c r="B1483" s="224"/>
      <c r="C1483" s="36" t="s">
        <v>495</v>
      </c>
      <c r="D1483" s="36" t="s">
        <v>93</v>
      </c>
      <c r="E1483" s="37">
        <v>1.05</v>
      </c>
      <c r="F1483" s="34" t="s">
        <v>560</v>
      </c>
      <c r="G1483" s="31" t="str">
        <f t="shared" si="23"/>
        <v/>
      </c>
      <c r="H1483" s="35"/>
      <c r="I1483" s="31"/>
      <c r="J1483" s="155">
        <v>0</v>
      </c>
    </row>
    <row r="1484" spans="1:10" ht="15" hidden="1" thickBot="1" x14ac:dyDescent="0.35">
      <c r="A1484" s="229"/>
      <c r="B1484" s="224"/>
      <c r="C1484" s="36" t="s">
        <v>471</v>
      </c>
      <c r="D1484" s="36" t="s">
        <v>93</v>
      </c>
      <c r="E1484" s="37">
        <v>1.6</v>
      </c>
      <c r="F1484" s="31">
        <v>6.1709999999999994</v>
      </c>
      <c r="G1484" s="31">
        <f t="shared" si="23"/>
        <v>9.8735999999999997</v>
      </c>
      <c r="H1484" s="35"/>
      <c r="I1484" s="31"/>
      <c r="J1484" s="155">
        <v>0</v>
      </c>
    </row>
    <row r="1485" spans="1:10" ht="15" hidden="1" thickBot="1" x14ac:dyDescent="0.35">
      <c r="A1485" s="229"/>
      <c r="B1485" s="224"/>
      <c r="C1485" s="36" t="s">
        <v>472</v>
      </c>
      <c r="D1485" s="36" t="s">
        <v>292</v>
      </c>
      <c r="E1485" s="37">
        <v>5.3367000000000004</v>
      </c>
      <c r="F1485" s="34">
        <v>0.17</v>
      </c>
      <c r="G1485" s="31">
        <f t="shared" si="23"/>
        <v>0.90723900000000013</v>
      </c>
      <c r="H1485" s="35"/>
      <c r="I1485" s="31"/>
      <c r="J1485" s="155">
        <v>0</v>
      </c>
    </row>
    <row r="1486" spans="1:10" ht="15" hidden="1" thickBot="1" x14ac:dyDescent="0.35">
      <c r="A1486" s="229"/>
      <c r="B1486" s="224"/>
      <c r="C1486" s="36" t="s">
        <v>473</v>
      </c>
      <c r="D1486" s="36" t="s">
        <v>147</v>
      </c>
      <c r="E1486" s="37">
        <v>5.34</v>
      </c>
      <c r="F1486" s="31">
        <v>6.8000000000000005E-2</v>
      </c>
      <c r="G1486" s="31">
        <f t="shared" si="23"/>
        <v>0.36312</v>
      </c>
      <c r="H1486" s="35"/>
      <c r="I1486" s="31"/>
      <c r="J1486" s="155">
        <v>0</v>
      </c>
    </row>
    <row r="1487" spans="1:10" ht="15" hidden="1" thickBot="1" x14ac:dyDescent="0.35">
      <c r="A1487" s="229"/>
      <c r="B1487" s="224"/>
      <c r="C1487" s="36" t="s">
        <v>496</v>
      </c>
      <c r="D1487" s="36" t="s">
        <v>147</v>
      </c>
      <c r="E1487" s="37">
        <v>0.67</v>
      </c>
      <c r="F1487" s="31">
        <v>7.6669999999999998</v>
      </c>
      <c r="G1487" s="31">
        <f t="shared" si="23"/>
        <v>5.1368900000000002</v>
      </c>
      <c r="H1487" s="35"/>
      <c r="I1487" s="31"/>
      <c r="J1487" s="155">
        <v>0</v>
      </c>
    </row>
    <row r="1488" spans="1:10" ht="15" hidden="1" thickBot="1" x14ac:dyDescent="0.35">
      <c r="A1488" s="229"/>
      <c r="B1488" s="224"/>
      <c r="C1488" s="36" t="s">
        <v>475</v>
      </c>
      <c r="D1488" s="36" t="s">
        <v>147</v>
      </c>
      <c r="E1488" s="37">
        <v>1.3332999999999999</v>
      </c>
      <c r="F1488" s="31">
        <v>1.9379999999999997</v>
      </c>
      <c r="G1488" s="31">
        <f t="shared" si="23"/>
        <v>2.5839353999999997</v>
      </c>
      <c r="H1488" s="35"/>
      <c r="I1488" s="31"/>
      <c r="J1488" s="155">
        <v>0</v>
      </c>
    </row>
    <row r="1489" spans="1:10" ht="15" hidden="1" thickBot="1" x14ac:dyDescent="0.35">
      <c r="A1489" s="229"/>
      <c r="B1489" s="224"/>
      <c r="C1489" s="36" t="s">
        <v>476</v>
      </c>
      <c r="D1489" s="36" t="s">
        <v>20</v>
      </c>
      <c r="E1489" s="37">
        <v>2.67</v>
      </c>
      <c r="F1489" s="31">
        <v>0.34849999999999998</v>
      </c>
      <c r="G1489" s="31">
        <f t="shared" si="23"/>
        <v>0.93049499999999996</v>
      </c>
      <c r="H1489" s="35"/>
      <c r="I1489" s="31"/>
      <c r="J1489" s="155">
        <v>0</v>
      </c>
    </row>
    <row r="1490" spans="1:10" ht="15" hidden="1" thickBot="1" x14ac:dyDescent="0.35">
      <c r="A1490" s="229"/>
      <c r="B1490" s="224"/>
      <c r="C1490" s="36" t="s">
        <v>477</v>
      </c>
      <c r="D1490" s="36" t="s">
        <v>147</v>
      </c>
      <c r="E1490" s="37">
        <v>0.67</v>
      </c>
      <c r="F1490" s="31">
        <v>0</v>
      </c>
      <c r="G1490" s="31">
        <f t="shared" ref="G1490:G1553" si="24">IF(ISNUMBER(F1490),E1490*F1490,"")</f>
        <v>0</v>
      </c>
      <c r="H1490" s="35"/>
      <c r="I1490" s="31"/>
      <c r="J1490" s="155">
        <v>0</v>
      </c>
    </row>
    <row r="1491" spans="1:10" ht="27" hidden="1" thickBot="1" x14ac:dyDescent="0.35">
      <c r="A1491" s="229"/>
      <c r="B1491" s="224"/>
      <c r="C1491" s="36" t="s">
        <v>497</v>
      </c>
      <c r="D1491" s="36" t="s">
        <v>93</v>
      </c>
      <c r="E1491" s="37">
        <v>1.05</v>
      </c>
      <c r="F1491" s="34" t="s">
        <v>560</v>
      </c>
      <c r="G1491" s="31" t="str">
        <f t="shared" si="24"/>
        <v/>
      </c>
      <c r="H1491" s="35"/>
      <c r="I1491" s="31"/>
      <c r="J1491" s="155">
        <v>0</v>
      </c>
    </row>
    <row r="1492" spans="1:10" ht="15" hidden="1" thickBot="1" x14ac:dyDescent="0.35">
      <c r="A1492" s="230"/>
      <c r="B1492" s="225"/>
      <c r="C1492" s="36"/>
      <c r="D1492" s="36"/>
      <c r="E1492" s="37"/>
      <c r="F1492" s="31" t="s">
        <v>560</v>
      </c>
      <c r="G1492" s="31" t="str">
        <f t="shared" si="24"/>
        <v/>
      </c>
      <c r="H1492" s="35"/>
      <c r="I1492" s="31"/>
      <c r="J1492" s="155">
        <v>0</v>
      </c>
    </row>
    <row r="1493" spans="1:10" ht="15" hidden="1" thickBot="1" x14ac:dyDescent="0.35">
      <c r="A1493" s="226" t="s">
        <v>498</v>
      </c>
      <c r="B1493" s="223" t="e">
        <f>INDEX(#REF!,MATCH(Composições!A1493,#REF!,0),2)</f>
        <v>#REF!</v>
      </c>
      <c r="C1493" s="41"/>
      <c r="D1493" s="26" t="e">
        <f>TRIM(INDEX(#REF!,MATCH(Composições!A1493,#REF!,0),1))</f>
        <v>#REF!</v>
      </c>
      <c r="E1493" s="27"/>
      <c r="F1493" s="42" t="s">
        <v>560</v>
      </c>
      <c r="G1493" s="28" t="str">
        <f t="shared" si="24"/>
        <v/>
      </c>
      <c r="H1493" s="29"/>
      <c r="I1493" s="30"/>
      <c r="J1493" s="155">
        <v>0</v>
      </c>
    </row>
    <row r="1494" spans="1:10" ht="15" hidden="1" thickBot="1" x14ac:dyDescent="0.35">
      <c r="A1494" s="227"/>
      <c r="B1494" s="224"/>
      <c r="C1494" s="32"/>
      <c r="D1494" s="32"/>
      <c r="E1494" s="33"/>
      <c r="F1494" s="43" t="s">
        <v>560</v>
      </c>
      <c r="G1494" s="31" t="str">
        <f t="shared" si="24"/>
        <v/>
      </c>
      <c r="H1494" s="35"/>
      <c r="I1494" s="31"/>
      <c r="J1494" s="155">
        <v>0</v>
      </c>
    </row>
    <row r="1495" spans="1:10" ht="15" hidden="1" thickBot="1" x14ac:dyDescent="0.35">
      <c r="A1495" s="227"/>
      <c r="B1495" s="224"/>
      <c r="C1495" s="36" t="s">
        <v>30</v>
      </c>
      <c r="D1495" s="36" t="s">
        <v>12</v>
      </c>
      <c r="E1495" s="37">
        <v>0.45</v>
      </c>
      <c r="F1495" s="31">
        <v>20.484999999999999</v>
      </c>
      <c r="G1495" s="31">
        <f t="shared" si="24"/>
        <v>9.2182499999999994</v>
      </c>
      <c r="H1495" s="39">
        <f>SUM(G1495:G1506)</f>
        <v>41.392983799999996</v>
      </c>
      <c r="I1495" s="40"/>
      <c r="J1495" s="155">
        <v>0</v>
      </c>
    </row>
    <row r="1496" spans="1:10" ht="15" hidden="1" thickBot="1" x14ac:dyDescent="0.35">
      <c r="A1496" s="227"/>
      <c r="B1496" s="224"/>
      <c r="C1496" s="36" t="s">
        <v>74</v>
      </c>
      <c r="D1496" s="47" t="s">
        <v>12</v>
      </c>
      <c r="E1496" s="37">
        <v>0.45</v>
      </c>
      <c r="F1496" s="31">
        <v>15.928999999999998</v>
      </c>
      <c r="G1496" s="31">
        <f t="shared" si="24"/>
        <v>7.1680499999999991</v>
      </c>
      <c r="H1496" s="35"/>
      <c r="I1496" s="31"/>
      <c r="J1496" s="155">
        <v>0</v>
      </c>
    </row>
    <row r="1497" spans="1:10" ht="27" hidden="1" thickBot="1" x14ac:dyDescent="0.35">
      <c r="A1497" s="227"/>
      <c r="B1497" s="224"/>
      <c r="C1497" s="36" t="s">
        <v>469</v>
      </c>
      <c r="D1497" s="36" t="s">
        <v>147</v>
      </c>
      <c r="E1497" s="37">
        <v>0.67</v>
      </c>
      <c r="F1497" s="31">
        <v>7.6669999999999998</v>
      </c>
      <c r="G1497" s="31">
        <f t="shared" si="24"/>
        <v>5.1368900000000002</v>
      </c>
      <c r="H1497" s="62"/>
      <c r="I1497" s="1"/>
      <c r="J1497" s="155">
        <v>0</v>
      </c>
    </row>
    <row r="1498" spans="1:10" ht="27" hidden="1" thickBot="1" x14ac:dyDescent="0.35">
      <c r="A1498" s="227"/>
      <c r="B1498" s="224"/>
      <c r="C1498" s="36" t="s">
        <v>499</v>
      </c>
      <c r="D1498" s="36" t="s">
        <v>93</v>
      </c>
      <c r="E1498" s="37">
        <v>1.05</v>
      </c>
      <c r="F1498" s="34" t="s">
        <v>560</v>
      </c>
      <c r="G1498" s="31" t="str">
        <f t="shared" si="24"/>
        <v/>
      </c>
      <c r="H1498" s="35"/>
      <c r="I1498" s="31"/>
      <c r="J1498" s="155">
        <v>0</v>
      </c>
    </row>
    <row r="1499" spans="1:10" ht="15" hidden="1" thickBot="1" x14ac:dyDescent="0.35">
      <c r="A1499" s="227"/>
      <c r="B1499" s="224"/>
      <c r="C1499" s="36" t="s">
        <v>471</v>
      </c>
      <c r="D1499" s="36" t="s">
        <v>93</v>
      </c>
      <c r="E1499" s="37">
        <v>0.8</v>
      </c>
      <c r="F1499" s="31">
        <v>6.1709999999999994</v>
      </c>
      <c r="G1499" s="31">
        <f t="shared" si="24"/>
        <v>4.9367999999999999</v>
      </c>
      <c r="H1499" s="35"/>
      <c r="I1499" s="31"/>
      <c r="J1499" s="155">
        <v>0</v>
      </c>
    </row>
    <row r="1500" spans="1:10" ht="15" hidden="1" thickBot="1" x14ac:dyDescent="0.35">
      <c r="A1500" s="227"/>
      <c r="B1500" s="224"/>
      <c r="C1500" s="36" t="s">
        <v>472</v>
      </c>
      <c r="D1500" s="36" t="s">
        <v>292</v>
      </c>
      <c r="E1500" s="37">
        <v>4.0033000000000003</v>
      </c>
      <c r="F1500" s="34">
        <v>0.17</v>
      </c>
      <c r="G1500" s="31">
        <f t="shared" si="24"/>
        <v>0.68056100000000008</v>
      </c>
      <c r="H1500" s="35"/>
      <c r="I1500" s="31"/>
      <c r="J1500" s="155">
        <v>0</v>
      </c>
    </row>
    <row r="1501" spans="1:10" ht="15" hidden="1" thickBot="1" x14ac:dyDescent="0.35">
      <c r="A1501" s="227"/>
      <c r="B1501" s="224"/>
      <c r="C1501" s="36" t="s">
        <v>473</v>
      </c>
      <c r="D1501" s="36" t="s">
        <v>147</v>
      </c>
      <c r="E1501" s="37">
        <v>4.0033000000000003</v>
      </c>
      <c r="F1501" s="31">
        <v>6.8000000000000005E-2</v>
      </c>
      <c r="G1501" s="31">
        <f t="shared" si="24"/>
        <v>0.27222440000000003</v>
      </c>
      <c r="H1501" s="35"/>
      <c r="I1501" s="31"/>
      <c r="J1501" s="155">
        <v>0</v>
      </c>
    </row>
    <row r="1502" spans="1:10" ht="15" hidden="1" thickBot="1" x14ac:dyDescent="0.35">
      <c r="A1502" s="227"/>
      <c r="B1502" s="224"/>
      <c r="C1502" s="36" t="s">
        <v>500</v>
      </c>
      <c r="D1502" s="36" t="s">
        <v>147</v>
      </c>
      <c r="E1502" s="37">
        <v>0.67</v>
      </c>
      <c r="F1502" s="31">
        <v>16.440020000000001</v>
      </c>
      <c r="G1502" s="31">
        <f t="shared" si="24"/>
        <v>11.014813400000001</v>
      </c>
      <c r="H1502" s="35"/>
      <c r="I1502" s="31"/>
      <c r="J1502" s="155">
        <v>0</v>
      </c>
    </row>
    <row r="1503" spans="1:10" ht="15" hidden="1" thickBot="1" x14ac:dyDescent="0.35">
      <c r="A1503" s="227"/>
      <c r="B1503" s="224"/>
      <c r="C1503" s="36" t="s">
        <v>475</v>
      </c>
      <c r="D1503" s="36" t="s">
        <v>147</v>
      </c>
      <c r="E1503" s="37">
        <v>1.05</v>
      </c>
      <c r="F1503" s="31">
        <v>1.9379999999999997</v>
      </c>
      <c r="G1503" s="31">
        <f t="shared" si="24"/>
        <v>2.0348999999999999</v>
      </c>
      <c r="H1503" s="35"/>
      <c r="I1503" s="31"/>
      <c r="J1503" s="155">
        <v>0</v>
      </c>
    </row>
    <row r="1504" spans="1:10" ht="15" hidden="1" thickBot="1" x14ac:dyDescent="0.35">
      <c r="A1504" s="227"/>
      <c r="B1504" s="224"/>
      <c r="C1504" s="36" t="s">
        <v>476</v>
      </c>
      <c r="D1504" s="36" t="s">
        <v>20</v>
      </c>
      <c r="E1504" s="37">
        <v>2.67</v>
      </c>
      <c r="F1504" s="31">
        <v>0.34849999999999998</v>
      </c>
      <c r="G1504" s="31">
        <f t="shared" si="24"/>
        <v>0.93049499999999996</v>
      </c>
      <c r="H1504" s="35"/>
      <c r="I1504" s="31"/>
      <c r="J1504" s="155">
        <v>0</v>
      </c>
    </row>
    <row r="1505" spans="1:10" ht="15" hidden="1" thickBot="1" x14ac:dyDescent="0.35">
      <c r="A1505" s="227"/>
      <c r="B1505" s="224"/>
      <c r="C1505" s="36" t="s">
        <v>477</v>
      </c>
      <c r="D1505" s="36" t="s">
        <v>147</v>
      </c>
      <c r="E1505" s="37">
        <v>0.66669999999999996</v>
      </c>
      <c r="F1505" s="31">
        <v>0</v>
      </c>
      <c r="G1505" s="31">
        <f t="shared" si="24"/>
        <v>0</v>
      </c>
      <c r="H1505" s="35"/>
      <c r="I1505" s="31"/>
      <c r="J1505" s="155">
        <v>0</v>
      </c>
    </row>
    <row r="1506" spans="1:10" ht="15" hidden="1" thickBot="1" x14ac:dyDescent="0.35">
      <c r="A1506" s="227"/>
      <c r="B1506" s="224"/>
      <c r="C1506" s="36" t="s">
        <v>501</v>
      </c>
      <c r="D1506" s="36" t="s">
        <v>93</v>
      </c>
      <c r="E1506" s="37">
        <v>1.05</v>
      </c>
      <c r="F1506" s="34" t="s">
        <v>560</v>
      </c>
      <c r="G1506" s="31" t="str">
        <f t="shared" si="24"/>
        <v/>
      </c>
      <c r="H1506" s="35"/>
      <c r="I1506" s="31"/>
      <c r="J1506" s="155">
        <v>0</v>
      </c>
    </row>
    <row r="1507" spans="1:10" ht="15" hidden="1" thickBot="1" x14ac:dyDescent="0.35">
      <c r="A1507" s="228"/>
      <c r="B1507" s="225"/>
      <c r="C1507" s="36"/>
      <c r="D1507" s="36"/>
      <c r="E1507" s="37"/>
      <c r="F1507" s="31" t="s">
        <v>560</v>
      </c>
      <c r="G1507" s="31" t="str">
        <f t="shared" si="24"/>
        <v/>
      </c>
      <c r="H1507" s="35"/>
      <c r="I1507" s="31"/>
      <c r="J1507" s="155">
        <v>0</v>
      </c>
    </row>
    <row r="1508" spans="1:10" ht="15" hidden="1" thickBot="1" x14ac:dyDescent="0.35">
      <c r="A1508" s="226" t="s">
        <v>502</v>
      </c>
      <c r="B1508" s="223" t="e">
        <f>INDEX(#REF!,MATCH(Composições!A1508,#REF!,0),2)</f>
        <v>#REF!</v>
      </c>
      <c r="C1508" s="41"/>
      <c r="D1508" s="26" t="e">
        <f>TRIM(INDEX(#REF!,MATCH(Composições!A1508,#REF!,0),1))</f>
        <v>#REF!</v>
      </c>
      <c r="E1508" s="27"/>
      <c r="F1508" s="42" t="s">
        <v>560</v>
      </c>
      <c r="G1508" s="28" t="str">
        <f t="shared" si="24"/>
        <v/>
      </c>
      <c r="H1508" s="29"/>
      <c r="I1508" s="30"/>
      <c r="J1508" s="155">
        <v>0</v>
      </c>
    </row>
    <row r="1509" spans="1:10" ht="15" hidden="1" thickBot="1" x14ac:dyDescent="0.35">
      <c r="A1509" s="229"/>
      <c r="B1509" s="224"/>
      <c r="C1509" s="32"/>
      <c r="D1509" s="32"/>
      <c r="E1509" s="33"/>
      <c r="F1509" s="43" t="s">
        <v>560</v>
      </c>
      <c r="G1509" s="31" t="str">
        <f t="shared" si="24"/>
        <v/>
      </c>
      <c r="H1509" s="35"/>
      <c r="I1509" s="31"/>
      <c r="J1509" s="155">
        <v>0</v>
      </c>
    </row>
    <row r="1510" spans="1:10" ht="15" hidden="1" thickBot="1" x14ac:dyDescent="0.35">
      <c r="A1510" s="229"/>
      <c r="B1510" s="224"/>
      <c r="C1510" s="36" t="s">
        <v>503</v>
      </c>
      <c r="D1510" s="36" t="s">
        <v>93</v>
      </c>
      <c r="E1510" s="37">
        <v>1.05</v>
      </c>
      <c r="F1510" s="31">
        <v>176.05199999999999</v>
      </c>
      <c r="G1510" s="34">
        <f t="shared" si="24"/>
        <v>184.8546</v>
      </c>
      <c r="H1510" s="39">
        <f>SUM(G1510:G1514)</f>
        <v>202.17786897162003</v>
      </c>
      <c r="I1510" s="40"/>
      <c r="J1510" s="155">
        <v>0</v>
      </c>
    </row>
    <row r="1511" spans="1:10" ht="15" hidden="1" thickBot="1" x14ac:dyDescent="0.35">
      <c r="A1511" s="229"/>
      <c r="B1511" s="224"/>
      <c r="C1511" s="36" t="s">
        <v>30</v>
      </c>
      <c r="D1511" s="36" t="s">
        <v>12</v>
      </c>
      <c r="E1511" s="37">
        <v>0.28210000000000002</v>
      </c>
      <c r="F1511" s="31">
        <v>20.484999999999999</v>
      </c>
      <c r="G1511" s="34">
        <f t="shared" si="24"/>
        <v>5.7788184999999999</v>
      </c>
      <c r="H1511" s="35"/>
      <c r="I1511" s="31"/>
      <c r="J1511" s="155">
        <v>0</v>
      </c>
    </row>
    <row r="1512" spans="1:10" ht="15" hidden="1" thickBot="1" x14ac:dyDescent="0.35">
      <c r="A1512" s="229"/>
      <c r="B1512" s="224"/>
      <c r="C1512" s="36" t="s">
        <v>74</v>
      </c>
      <c r="D1512" s="36" t="s">
        <v>12</v>
      </c>
      <c r="E1512" s="37">
        <v>0.28210000000000002</v>
      </c>
      <c r="F1512" s="31">
        <v>15.928999999999998</v>
      </c>
      <c r="G1512" s="34">
        <f t="shared" si="24"/>
        <v>4.4935708999999999</v>
      </c>
      <c r="H1512" s="35"/>
      <c r="I1512" s="31"/>
      <c r="J1512" s="155">
        <v>0</v>
      </c>
    </row>
    <row r="1513" spans="1:10" ht="40.200000000000003" hidden="1" thickBot="1" x14ac:dyDescent="0.35">
      <c r="A1513" s="229"/>
      <c r="B1513" s="224"/>
      <c r="C1513" s="36" t="s">
        <v>504</v>
      </c>
      <c r="D1513" s="36" t="s">
        <v>93</v>
      </c>
      <c r="E1513" s="37">
        <v>2</v>
      </c>
      <c r="F1513" s="34">
        <v>1.1645340000000002</v>
      </c>
      <c r="G1513" s="34">
        <f t="shared" si="24"/>
        <v>2.3290680000000004</v>
      </c>
      <c r="H1513" s="35"/>
      <c r="I1513" s="31"/>
      <c r="J1513" s="155">
        <v>0</v>
      </c>
    </row>
    <row r="1514" spans="1:10" ht="27" hidden="1" thickBot="1" x14ac:dyDescent="0.35">
      <c r="A1514" s="229"/>
      <c r="B1514" s="224"/>
      <c r="C1514" s="36" t="s">
        <v>505</v>
      </c>
      <c r="D1514" s="36" t="s">
        <v>292</v>
      </c>
      <c r="E1514" s="37">
        <v>0.33329999999999999</v>
      </c>
      <c r="F1514" s="34">
        <v>14.166851399999999</v>
      </c>
      <c r="G1514" s="34">
        <f t="shared" si="24"/>
        <v>4.7218115716199991</v>
      </c>
      <c r="H1514" s="35"/>
      <c r="I1514" s="31"/>
      <c r="J1514" s="155">
        <v>0</v>
      </c>
    </row>
    <row r="1515" spans="1:10" ht="15" hidden="1" thickBot="1" x14ac:dyDescent="0.35">
      <c r="A1515" s="230"/>
      <c r="B1515" s="225"/>
      <c r="C1515" s="36"/>
      <c r="D1515" s="36"/>
      <c r="E1515" s="37"/>
      <c r="F1515" s="31" t="s">
        <v>560</v>
      </c>
      <c r="G1515" s="31" t="str">
        <f t="shared" si="24"/>
        <v/>
      </c>
      <c r="H1515" s="35"/>
      <c r="I1515" s="31"/>
      <c r="J1515" s="155">
        <v>0</v>
      </c>
    </row>
    <row r="1516" spans="1:10" ht="15" hidden="1" thickBot="1" x14ac:dyDescent="0.35">
      <c r="A1516" s="226" t="s">
        <v>506</v>
      </c>
      <c r="B1516" s="223" t="e">
        <f>INDEX(#REF!,MATCH(Composições!A1516,#REF!,0),2)</f>
        <v>#REF!</v>
      </c>
      <c r="C1516" s="41"/>
      <c r="D1516" s="26" t="e">
        <f>TRIM(INDEX(#REF!,MATCH(Composições!A1516,#REF!,0),1))</f>
        <v>#REF!</v>
      </c>
      <c r="E1516" s="27"/>
      <c r="F1516" s="42" t="s">
        <v>560</v>
      </c>
      <c r="G1516" s="28" t="str">
        <f t="shared" si="24"/>
        <v/>
      </c>
      <c r="H1516" s="29"/>
      <c r="I1516" s="30"/>
      <c r="J1516" s="155">
        <v>0</v>
      </c>
    </row>
    <row r="1517" spans="1:10" ht="15" hidden="1" thickBot="1" x14ac:dyDescent="0.35">
      <c r="A1517" s="229"/>
      <c r="B1517" s="224"/>
      <c r="C1517" s="32"/>
      <c r="D1517" s="32"/>
      <c r="E1517" s="33"/>
      <c r="F1517" s="43" t="s">
        <v>560</v>
      </c>
      <c r="G1517" s="31" t="str">
        <f t="shared" si="24"/>
        <v/>
      </c>
      <c r="H1517" s="35"/>
      <c r="I1517" s="31"/>
      <c r="J1517" s="155">
        <v>0</v>
      </c>
    </row>
    <row r="1518" spans="1:10" ht="15" hidden="1" thickBot="1" x14ac:dyDescent="0.35">
      <c r="A1518" s="229"/>
      <c r="B1518" s="224"/>
      <c r="C1518" s="36" t="s">
        <v>507</v>
      </c>
      <c r="D1518" s="36" t="s">
        <v>93</v>
      </c>
      <c r="E1518" s="37">
        <v>1.05</v>
      </c>
      <c r="F1518" s="31">
        <v>0</v>
      </c>
      <c r="G1518" s="34">
        <f t="shared" si="24"/>
        <v>0</v>
      </c>
      <c r="H1518" s="39">
        <f>SUM(G1518:G1522)</f>
        <v>15.181217105639998</v>
      </c>
      <c r="I1518" s="40"/>
      <c r="J1518" s="155">
        <v>0</v>
      </c>
    </row>
    <row r="1519" spans="1:10" ht="15" hidden="1" thickBot="1" x14ac:dyDescent="0.35">
      <c r="A1519" s="229"/>
      <c r="B1519" s="224"/>
      <c r="C1519" s="36" t="s">
        <v>30</v>
      </c>
      <c r="D1519" s="36" t="s">
        <v>12</v>
      </c>
      <c r="E1519" s="37">
        <v>0.247</v>
      </c>
      <c r="F1519" s="31">
        <v>20.484999999999999</v>
      </c>
      <c r="G1519" s="34">
        <f t="shared" si="24"/>
        <v>5.0597949999999994</v>
      </c>
      <c r="H1519" s="35"/>
      <c r="I1519" s="31"/>
      <c r="J1519" s="155">
        <v>0</v>
      </c>
    </row>
    <row r="1520" spans="1:10" ht="15" hidden="1" thickBot="1" x14ac:dyDescent="0.35">
      <c r="A1520" s="229"/>
      <c r="B1520" s="224"/>
      <c r="C1520" s="36" t="s">
        <v>74</v>
      </c>
      <c r="D1520" s="36" t="s">
        <v>12</v>
      </c>
      <c r="E1520" s="37">
        <v>0.247</v>
      </c>
      <c r="F1520" s="31">
        <v>15.928999999999998</v>
      </c>
      <c r="G1520" s="34">
        <f t="shared" si="24"/>
        <v>3.9344629999999996</v>
      </c>
      <c r="H1520" s="35"/>
      <c r="I1520" s="31"/>
      <c r="J1520" s="155">
        <v>0</v>
      </c>
    </row>
    <row r="1521" spans="1:10" ht="40.200000000000003" hidden="1" thickBot="1" x14ac:dyDescent="0.35">
      <c r="A1521" s="229"/>
      <c r="B1521" s="224"/>
      <c r="C1521" s="36" t="s">
        <v>504</v>
      </c>
      <c r="D1521" s="36" t="s">
        <v>93</v>
      </c>
      <c r="E1521" s="37">
        <v>2</v>
      </c>
      <c r="F1521" s="34">
        <v>1.1645340000000002</v>
      </c>
      <c r="G1521" s="34">
        <f t="shared" si="24"/>
        <v>2.3290680000000004</v>
      </c>
      <c r="H1521" s="35"/>
      <c r="I1521" s="31"/>
      <c r="J1521" s="155">
        <v>0</v>
      </c>
    </row>
    <row r="1522" spans="1:10" ht="27" hidden="1" thickBot="1" x14ac:dyDescent="0.35">
      <c r="A1522" s="229"/>
      <c r="B1522" s="224"/>
      <c r="C1522" s="36" t="s">
        <v>508</v>
      </c>
      <c r="D1522" s="36" t="s">
        <v>292</v>
      </c>
      <c r="E1522" s="37">
        <v>0.33329999999999999</v>
      </c>
      <c r="F1522" s="34">
        <v>11.574830799999999</v>
      </c>
      <c r="G1522" s="34">
        <f t="shared" si="24"/>
        <v>3.8578911056399994</v>
      </c>
      <c r="H1522" s="35"/>
      <c r="I1522" s="31"/>
      <c r="J1522" s="155">
        <v>0</v>
      </c>
    </row>
    <row r="1523" spans="1:10" ht="15" hidden="1" thickBot="1" x14ac:dyDescent="0.35">
      <c r="A1523" s="230"/>
      <c r="B1523" s="225"/>
      <c r="C1523" s="36"/>
      <c r="D1523" s="36"/>
      <c r="E1523" s="37"/>
      <c r="F1523" s="31" t="s">
        <v>560</v>
      </c>
      <c r="G1523" s="31" t="str">
        <f t="shared" si="24"/>
        <v/>
      </c>
      <c r="H1523" s="35"/>
      <c r="I1523" s="31"/>
      <c r="J1523" s="155">
        <v>0</v>
      </c>
    </row>
    <row r="1524" spans="1:10" ht="15" thickBot="1" x14ac:dyDescent="0.35">
      <c r="A1524" s="226" t="s">
        <v>509</v>
      </c>
      <c r="B1524" s="223" t="str">
        <f>INDEX(Orçamentária!A:B,MATCH(Composições!A1524,Orçamentária!A:A,0),2)</f>
        <v>Eletroduto de aço galvanizado de 1"</v>
      </c>
      <c r="C1524" s="41"/>
      <c r="D1524" s="26" t="str">
        <f>TRIM(INDEX(Orçamentária!C:C,MATCH(Composições!A1524,Orçamentária!A:A,0),1))</f>
        <v>m</v>
      </c>
      <c r="E1524" s="27"/>
      <c r="F1524" s="42" t="s">
        <v>560</v>
      </c>
      <c r="G1524" s="28" t="str">
        <f t="shared" si="24"/>
        <v/>
      </c>
      <c r="H1524" s="29"/>
      <c r="I1524" s="30"/>
      <c r="J1524" s="155">
        <v>400</v>
      </c>
    </row>
    <row r="1525" spans="1:10" x14ac:dyDescent="0.3">
      <c r="A1525" s="229"/>
      <c r="B1525" s="224"/>
      <c r="C1525" s="32"/>
      <c r="D1525" s="32"/>
      <c r="E1525" s="33"/>
      <c r="F1525" s="43" t="s">
        <v>560</v>
      </c>
      <c r="G1525" s="31" t="str">
        <f t="shared" si="24"/>
        <v/>
      </c>
      <c r="H1525" s="35"/>
      <c r="I1525" s="31"/>
      <c r="J1525" s="155">
        <v>400</v>
      </c>
    </row>
    <row r="1526" spans="1:10" x14ac:dyDescent="0.3">
      <c r="A1526" s="229"/>
      <c r="B1526" s="224"/>
      <c r="C1526" s="36" t="s">
        <v>510</v>
      </c>
      <c r="D1526" s="36" t="s">
        <v>93</v>
      </c>
      <c r="E1526" s="37">
        <v>1.05</v>
      </c>
      <c r="F1526" s="31">
        <v>12.597</v>
      </c>
      <c r="G1526" s="34">
        <f t="shared" si="24"/>
        <v>13.226850000000001</v>
      </c>
      <c r="H1526" s="39">
        <f>SUM(G1526:G1530)</f>
        <v>26.486116184460002</v>
      </c>
      <c r="I1526" s="40"/>
      <c r="J1526" s="155">
        <v>400</v>
      </c>
    </row>
    <row r="1527" spans="1:10" x14ac:dyDescent="0.3">
      <c r="A1527" s="229"/>
      <c r="B1527" s="224"/>
      <c r="C1527" s="36" t="s">
        <v>30</v>
      </c>
      <c r="D1527" s="36" t="s">
        <v>12</v>
      </c>
      <c r="E1527" s="37">
        <v>0.21629999999999999</v>
      </c>
      <c r="F1527" s="31">
        <v>20.484999999999999</v>
      </c>
      <c r="G1527" s="34">
        <f t="shared" si="24"/>
        <v>4.4309054999999997</v>
      </c>
      <c r="H1527" s="35"/>
      <c r="I1527" s="31"/>
      <c r="J1527" s="155">
        <v>400</v>
      </c>
    </row>
    <row r="1528" spans="1:10" x14ac:dyDescent="0.3">
      <c r="A1528" s="229"/>
      <c r="B1528" s="224"/>
      <c r="C1528" s="36" t="s">
        <v>74</v>
      </c>
      <c r="D1528" s="36" t="s">
        <v>12</v>
      </c>
      <c r="E1528" s="37">
        <v>0.21629999999999999</v>
      </c>
      <c r="F1528" s="31">
        <v>15.928999999999998</v>
      </c>
      <c r="G1528" s="34">
        <f t="shared" si="24"/>
        <v>3.4454426999999996</v>
      </c>
      <c r="H1528" s="35"/>
      <c r="I1528" s="31"/>
      <c r="J1528" s="155">
        <v>400</v>
      </c>
    </row>
    <row r="1529" spans="1:10" ht="39.6" x14ac:dyDescent="0.3">
      <c r="A1529" s="229"/>
      <c r="B1529" s="224"/>
      <c r="C1529" s="36" t="s">
        <v>504</v>
      </c>
      <c r="D1529" s="36" t="s">
        <v>93</v>
      </c>
      <c r="E1529" s="37">
        <v>2</v>
      </c>
      <c r="F1529" s="34">
        <v>1.1645340000000002</v>
      </c>
      <c r="G1529" s="34">
        <f t="shared" si="24"/>
        <v>2.3290680000000004</v>
      </c>
      <c r="H1529" s="35"/>
      <c r="I1529" s="31"/>
      <c r="J1529" s="155">
        <v>400</v>
      </c>
    </row>
    <row r="1530" spans="1:10" ht="26.4" x14ac:dyDescent="0.3">
      <c r="A1530" s="229"/>
      <c r="B1530" s="224"/>
      <c r="C1530" s="36" t="s">
        <v>511</v>
      </c>
      <c r="D1530" s="36" t="s">
        <v>292</v>
      </c>
      <c r="E1530" s="37">
        <v>0.33329999999999999</v>
      </c>
      <c r="F1530" s="34">
        <v>9.1624662000000008</v>
      </c>
      <c r="G1530" s="34">
        <f t="shared" si="24"/>
        <v>3.0538499844600002</v>
      </c>
      <c r="H1530" s="35"/>
      <c r="I1530" s="31"/>
      <c r="J1530" s="155">
        <v>400</v>
      </c>
    </row>
    <row r="1531" spans="1:10" ht="15" thickBot="1" x14ac:dyDescent="0.35">
      <c r="A1531" s="230"/>
      <c r="B1531" s="225"/>
      <c r="C1531" s="36"/>
      <c r="D1531" s="36"/>
      <c r="E1531" s="37"/>
      <c r="F1531" s="31" t="s">
        <v>560</v>
      </c>
      <c r="G1531" s="31" t="str">
        <f t="shared" si="24"/>
        <v/>
      </c>
      <c r="H1531" s="35"/>
      <c r="I1531" s="31"/>
      <c r="J1531" s="155">
        <v>400</v>
      </c>
    </row>
    <row r="1532" spans="1:10" ht="15" thickBot="1" x14ac:dyDescent="0.35">
      <c r="A1532" s="226" t="s">
        <v>512</v>
      </c>
      <c r="B1532" s="223" t="str">
        <f>INDEX(Orçamentária!A:B,MATCH(Composições!A1532,Orçamentária!A:A,0),2)</f>
        <v>Eletroduto de aço galvanizado de 2"</v>
      </c>
      <c r="C1532" s="41"/>
      <c r="D1532" s="26" t="str">
        <f>TRIM(INDEX(Orçamentária!C:C,MATCH(Composições!A1532,Orçamentária!A:A,0),1))</f>
        <v>m</v>
      </c>
      <c r="E1532" s="27"/>
      <c r="F1532" s="42" t="s">
        <v>560</v>
      </c>
      <c r="G1532" s="28" t="str">
        <f t="shared" si="24"/>
        <v/>
      </c>
      <c r="H1532" s="29"/>
      <c r="I1532" s="30"/>
      <c r="J1532" s="155">
        <v>850</v>
      </c>
    </row>
    <row r="1533" spans="1:10" x14ac:dyDescent="0.3">
      <c r="A1533" s="229"/>
      <c r="B1533" s="224"/>
      <c r="C1533" s="32"/>
      <c r="D1533" s="32"/>
      <c r="E1533" s="33"/>
      <c r="F1533" s="43" t="s">
        <v>560</v>
      </c>
      <c r="G1533" s="31" t="str">
        <f t="shared" si="24"/>
        <v/>
      </c>
      <c r="H1533" s="35"/>
      <c r="I1533" s="31"/>
      <c r="J1533" s="155">
        <v>850</v>
      </c>
    </row>
    <row r="1534" spans="1:10" x14ac:dyDescent="0.3">
      <c r="A1534" s="229"/>
      <c r="B1534" s="224"/>
      <c r="C1534" s="36" t="s">
        <v>513</v>
      </c>
      <c r="D1534" s="36" t="s">
        <v>93</v>
      </c>
      <c r="E1534" s="37">
        <v>1.05</v>
      </c>
      <c r="F1534" s="31">
        <v>38.793999999999997</v>
      </c>
      <c r="G1534" s="34">
        <f t="shared" si="24"/>
        <v>40.733699999999999</v>
      </c>
      <c r="H1534" s="39">
        <f>SUM(G1534:G1538)</f>
        <v>61.048541421620001</v>
      </c>
      <c r="I1534" s="40"/>
      <c r="J1534" s="155">
        <v>850</v>
      </c>
    </row>
    <row r="1535" spans="1:10" x14ac:dyDescent="0.3">
      <c r="A1535" s="229"/>
      <c r="B1535" s="224"/>
      <c r="C1535" s="36" t="s">
        <v>30</v>
      </c>
      <c r="D1535" s="36" t="s">
        <v>12</v>
      </c>
      <c r="E1535" s="37">
        <v>0.28210000000000002</v>
      </c>
      <c r="F1535" s="31">
        <v>20.484999999999999</v>
      </c>
      <c r="G1535" s="34">
        <f t="shared" si="24"/>
        <v>5.7788184999999999</v>
      </c>
      <c r="H1535" s="35"/>
      <c r="I1535" s="31"/>
      <c r="J1535" s="155">
        <v>850</v>
      </c>
    </row>
    <row r="1536" spans="1:10" x14ac:dyDescent="0.3">
      <c r="A1536" s="229"/>
      <c r="B1536" s="224"/>
      <c r="C1536" s="36" t="s">
        <v>74</v>
      </c>
      <c r="D1536" s="36" t="s">
        <v>12</v>
      </c>
      <c r="E1536" s="37">
        <v>0.28210000000000002</v>
      </c>
      <c r="F1536" s="31">
        <v>15.928999999999998</v>
      </c>
      <c r="G1536" s="34">
        <f t="shared" si="24"/>
        <v>4.4935708999999999</v>
      </c>
      <c r="H1536" s="35"/>
      <c r="I1536" s="31"/>
      <c r="J1536" s="155">
        <v>850</v>
      </c>
    </row>
    <row r="1537" spans="1:10" ht="39.6" x14ac:dyDescent="0.3">
      <c r="A1537" s="229"/>
      <c r="B1537" s="224"/>
      <c r="C1537" s="36" t="s">
        <v>514</v>
      </c>
      <c r="D1537" s="36" t="s">
        <v>515</v>
      </c>
      <c r="E1537" s="37">
        <v>2</v>
      </c>
      <c r="F1537" s="34">
        <v>2.3642664999999998</v>
      </c>
      <c r="G1537" s="34">
        <f t="shared" si="24"/>
        <v>4.7285329999999997</v>
      </c>
      <c r="H1537" s="35"/>
      <c r="I1537" s="31"/>
      <c r="J1537" s="155">
        <v>850</v>
      </c>
    </row>
    <row r="1538" spans="1:10" ht="26.4" x14ac:dyDescent="0.3">
      <c r="A1538" s="229"/>
      <c r="B1538" s="224"/>
      <c r="C1538" s="36" t="s">
        <v>516</v>
      </c>
      <c r="D1538" s="36" t="s">
        <v>292</v>
      </c>
      <c r="E1538" s="37">
        <v>0.33329999999999999</v>
      </c>
      <c r="F1538" s="34">
        <v>15.943351399999999</v>
      </c>
      <c r="G1538" s="31">
        <f t="shared" si="24"/>
        <v>5.3139190216199994</v>
      </c>
      <c r="H1538" s="35"/>
      <c r="I1538" s="31"/>
      <c r="J1538" s="155">
        <v>850</v>
      </c>
    </row>
    <row r="1539" spans="1:10" ht="15" thickBot="1" x14ac:dyDescent="0.35">
      <c r="A1539" s="230"/>
      <c r="B1539" s="225"/>
      <c r="C1539" s="36"/>
      <c r="D1539" s="36"/>
      <c r="E1539" s="37"/>
      <c r="F1539" s="31" t="s">
        <v>560</v>
      </c>
      <c r="G1539" s="31" t="str">
        <f t="shared" si="24"/>
        <v/>
      </c>
      <c r="H1539" s="35"/>
      <c r="I1539" s="31"/>
      <c r="J1539" s="155">
        <v>850</v>
      </c>
    </row>
    <row r="1540" spans="1:10" ht="15" hidden="1" thickBot="1" x14ac:dyDescent="0.35">
      <c r="A1540" s="226" t="s">
        <v>517</v>
      </c>
      <c r="B1540" s="223" t="e">
        <f>INDEX(#REF!,MATCH(Composições!A1540,#REF!,0),2)</f>
        <v>#REF!</v>
      </c>
      <c r="C1540" s="41"/>
      <c r="D1540" s="26" t="e">
        <f>TRIM(INDEX(#REF!,MATCH(Composições!A1540,#REF!,0),1))</f>
        <v>#REF!</v>
      </c>
      <c r="E1540" s="27"/>
      <c r="F1540" s="42" t="s">
        <v>560</v>
      </c>
      <c r="G1540" s="28" t="str">
        <f t="shared" si="24"/>
        <v/>
      </c>
      <c r="H1540" s="29"/>
      <c r="I1540" s="30"/>
      <c r="J1540" s="155">
        <v>0</v>
      </c>
    </row>
    <row r="1541" spans="1:10" ht="15" hidden="1" thickBot="1" x14ac:dyDescent="0.35">
      <c r="A1541" s="229"/>
      <c r="B1541" s="224"/>
      <c r="C1541" s="32"/>
      <c r="D1541" s="32"/>
      <c r="E1541" s="33"/>
      <c r="F1541" s="43" t="s">
        <v>560</v>
      </c>
      <c r="G1541" s="31" t="str">
        <f t="shared" si="24"/>
        <v/>
      </c>
      <c r="H1541" s="35"/>
      <c r="I1541" s="31"/>
      <c r="J1541" s="155">
        <v>0</v>
      </c>
    </row>
    <row r="1542" spans="1:10" ht="15" hidden="1" thickBot="1" x14ac:dyDescent="0.35">
      <c r="A1542" s="229"/>
      <c r="B1542" s="224"/>
      <c r="C1542" s="36" t="s">
        <v>518</v>
      </c>
      <c r="D1542" s="36" t="s">
        <v>93</v>
      </c>
      <c r="E1542" s="37">
        <v>1.05</v>
      </c>
      <c r="F1542" s="31">
        <v>5.0744999999999996</v>
      </c>
      <c r="G1542" s="34">
        <f t="shared" si="24"/>
        <v>5.3282249999999998</v>
      </c>
      <c r="H1542" s="39">
        <f>SUM(G1542:G1546)</f>
        <v>17.45784833874</v>
      </c>
      <c r="I1542" s="40"/>
      <c r="J1542" s="155">
        <v>0</v>
      </c>
    </row>
    <row r="1543" spans="1:10" ht="15" hidden="1" thickBot="1" x14ac:dyDescent="0.35">
      <c r="A1543" s="229"/>
      <c r="B1543" s="224"/>
      <c r="C1543" s="36" t="s">
        <v>30</v>
      </c>
      <c r="D1543" s="36" t="s">
        <v>12</v>
      </c>
      <c r="E1543" s="37">
        <v>0.19439999999999999</v>
      </c>
      <c r="F1543" s="31">
        <v>20.484999999999999</v>
      </c>
      <c r="G1543" s="34">
        <f t="shared" si="24"/>
        <v>3.9822839999999995</v>
      </c>
      <c r="H1543" s="35"/>
      <c r="I1543" s="31"/>
      <c r="J1543" s="155">
        <v>0</v>
      </c>
    </row>
    <row r="1544" spans="1:10" ht="15" hidden="1" thickBot="1" x14ac:dyDescent="0.35">
      <c r="A1544" s="229"/>
      <c r="B1544" s="224"/>
      <c r="C1544" s="36" t="s">
        <v>74</v>
      </c>
      <c r="D1544" s="36" t="s">
        <v>12</v>
      </c>
      <c r="E1544" s="37">
        <v>0.19439999999999999</v>
      </c>
      <c r="F1544" s="31">
        <v>15.928999999999998</v>
      </c>
      <c r="G1544" s="34">
        <f t="shared" si="24"/>
        <v>3.0965975999999995</v>
      </c>
      <c r="H1544" s="35"/>
      <c r="I1544" s="31"/>
      <c r="J1544" s="155">
        <v>0</v>
      </c>
    </row>
    <row r="1545" spans="1:10" ht="40.200000000000003" hidden="1" thickBot="1" x14ac:dyDescent="0.35">
      <c r="A1545" s="229"/>
      <c r="B1545" s="224"/>
      <c r="C1545" s="36" t="s">
        <v>504</v>
      </c>
      <c r="D1545" s="36" t="s">
        <v>93</v>
      </c>
      <c r="E1545" s="37">
        <v>2</v>
      </c>
      <c r="F1545" s="34">
        <v>1.1645340000000002</v>
      </c>
      <c r="G1545" s="34">
        <f t="shared" si="24"/>
        <v>2.3290680000000004</v>
      </c>
      <c r="H1545" s="35"/>
      <c r="I1545" s="31"/>
      <c r="J1545" s="155">
        <v>0</v>
      </c>
    </row>
    <row r="1546" spans="1:10" ht="27" hidden="1" thickBot="1" x14ac:dyDescent="0.35">
      <c r="A1546" s="229"/>
      <c r="B1546" s="224"/>
      <c r="C1546" s="36" t="s">
        <v>519</v>
      </c>
      <c r="D1546" s="36" t="s">
        <v>292</v>
      </c>
      <c r="E1546" s="37">
        <v>0.33329999999999999</v>
      </c>
      <c r="F1546" s="34">
        <v>8.1658378000000003</v>
      </c>
      <c r="G1546" s="34">
        <f t="shared" si="24"/>
        <v>2.7216737387399998</v>
      </c>
      <c r="H1546" s="35"/>
      <c r="I1546" s="31"/>
      <c r="J1546" s="155">
        <v>0</v>
      </c>
    </row>
    <row r="1547" spans="1:10" ht="15" hidden="1" thickBot="1" x14ac:dyDescent="0.35">
      <c r="A1547" s="230"/>
      <c r="B1547" s="225"/>
      <c r="C1547" s="36"/>
      <c r="D1547" s="36"/>
      <c r="E1547" s="37"/>
      <c r="F1547" s="31" t="s">
        <v>560</v>
      </c>
      <c r="G1547" s="31" t="str">
        <f t="shared" si="24"/>
        <v/>
      </c>
      <c r="H1547" s="35"/>
      <c r="I1547" s="31"/>
      <c r="J1547" s="155">
        <v>0</v>
      </c>
    </row>
    <row r="1548" spans="1:10" ht="15" hidden="1" thickBot="1" x14ac:dyDescent="0.35">
      <c r="A1548" s="226" t="s">
        <v>520</v>
      </c>
      <c r="B1548" s="223" t="e">
        <f>INDEX(#REF!,MATCH(Composições!A1548,#REF!,0),2)</f>
        <v>#REF!</v>
      </c>
      <c r="C1548" s="41"/>
      <c r="D1548" s="26" t="e">
        <f>TRIM(INDEX(#REF!,MATCH(Composições!A1548,#REF!,0),1))</f>
        <v>#REF!</v>
      </c>
      <c r="E1548" s="27"/>
      <c r="F1548" s="42" t="s">
        <v>560</v>
      </c>
      <c r="G1548" s="28" t="str">
        <f t="shared" si="24"/>
        <v/>
      </c>
      <c r="H1548" s="29"/>
      <c r="I1548" s="30"/>
      <c r="J1548" s="155">
        <v>0</v>
      </c>
    </row>
    <row r="1549" spans="1:10" ht="15" hidden="1" thickBot="1" x14ac:dyDescent="0.35">
      <c r="A1549" s="229"/>
      <c r="B1549" s="224"/>
      <c r="C1549" s="32"/>
      <c r="D1549" s="32"/>
      <c r="E1549" s="33"/>
      <c r="F1549" s="43" t="s">
        <v>560</v>
      </c>
      <c r="G1549" s="31" t="str">
        <f t="shared" si="24"/>
        <v/>
      </c>
      <c r="H1549" s="35"/>
      <c r="I1549" s="31"/>
      <c r="J1549" s="155">
        <v>0</v>
      </c>
    </row>
    <row r="1550" spans="1:10" ht="27" hidden="1" thickBot="1" x14ac:dyDescent="0.35">
      <c r="A1550" s="229"/>
      <c r="B1550" s="224"/>
      <c r="C1550" s="36" t="s">
        <v>521</v>
      </c>
      <c r="D1550" s="36" t="s">
        <v>93</v>
      </c>
      <c r="E1550" s="37">
        <v>1.1000000000000001</v>
      </c>
      <c r="F1550" s="34">
        <v>5.7119999999999997</v>
      </c>
      <c r="G1550" s="34">
        <f t="shared" si="24"/>
        <v>6.2831999999999999</v>
      </c>
      <c r="H1550" s="39">
        <f>SUM(G1550:G1553)</f>
        <v>11.850861499999999</v>
      </c>
      <c r="I1550" s="40"/>
      <c r="J1550" s="155">
        <v>0</v>
      </c>
    </row>
    <row r="1551" spans="1:10" ht="15" hidden="1" thickBot="1" x14ac:dyDescent="0.35">
      <c r="A1551" s="229"/>
      <c r="B1551" s="224"/>
      <c r="C1551" s="36" t="s">
        <v>30</v>
      </c>
      <c r="D1551" s="36" t="s">
        <v>12</v>
      </c>
      <c r="E1551" s="37">
        <v>0.09</v>
      </c>
      <c r="F1551" s="31">
        <v>20.484999999999999</v>
      </c>
      <c r="G1551" s="34">
        <f t="shared" si="24"/>
        <v>1.8436499999999998</v>
      </c>
      <c r="H1551" s="35"/>
      <c r="I1551" s="31"/>
      <c r="J1551" s="155">
        <v>0</v>
      </c>
    </row>
    <row r="1552" spans="1:10" ht="15" hidden="1" thickBot="1" x14ac:dyDescent="0.35">
      <c r="A1552" s="229"/>
      <c r="B1552" s="224"/>
      <c r="C1552" s="36" t="s">
        <v>74</v>
      </c>
      <c r="D1552" s="36" t="s">
        <v>12</v>
      </c>
      <c r="E1552" s="37">
        <v>0.09</v>
      </c>
      <c r="F1552" s="31">
        <v>15.928999999999998</v>
      </c>
      <c r="G1552" s="34">
        <f t="shared" si="24"/>
        <v>1.4336099999999998</v>
      </c>
      <c r="H1552" s="35"/>
      <c r="I1552" s="31"/>
      <c r="J1552" s="155">
        <v>0</v>
      </c>
    </row>
    <row r="1553" spans="1:10" ht="40.200000000000003" hidden="1" thickBot="1" x14ac:dyDescent="0.35">
      <c r="A1553" s="229"/>
      <c r="B1553" s="224"/>
      <c r="C1553" s="36" t="s">
        <v>522</v>
      </c>
      <c r="D1553" s="36" t="s">
        <v>93</v>
      </c>
      <c r="E1553" s="37">
        <v>1</v>
      </c>
      <c r="F1553" s="34">
        <v>2.2904014999999998</v>
      </c>
      <c r="G1553" s="31">
        <f t="shared" si="24"/>
        <v>2.2904014999999998</v>
      </c>
      <c r="H1553" s="35"/>
      <c r="I1553" s="31"/>
      <c r="J1553" s="155">
        <v>0</v>
      </c>
    </row>
    <row r="1554" spans="1:10" ht="15" hidden="1" thickBot="1" x14ac:dyDescent="0.35">
      <c r="A1554" s="230"/>
      <c r="B1554" s="225"/>
      <c r="C1554" s="36"/>
      <c r="D1554" s="36"/>
      <c r="E1554" s="37"/>
      <c r="F1554" s="31" t="s">
        <v>560</v>
      </c>
      <c r="G1554" s="31" t="str">
        <f t="shared" ref="G1554:G1617" si="25">IF(ISNUMBER(F1554),E1554*F1554,"")</f>
        <v/>
      </c>
      <c r="H1554" s="35"/>
      <c r="I1554" s="31"/>
      <c r="J1554" s="155">
        <v>0</v>
      </c>
    </row>
    <row r="1555" spans="1:10" ht="15" hidden="1" thickBot="1" x14ac:dyDescent="0.35">
      <c r="A1555" s="226" t="s">
        <v>523</v>
      </c>
      <c r="B1555" s="223" t="e">
        <f>INDEX(#REF!,MATCH(Composições!A1555,#REF!,0),2)</f>
        <v>#REF!</v>
      </c>
      <c r="C1555" s="41"/>
      <c r="D1555" s="26" t="e">
        <f>TRIM(INDEX(#REF!,MATCH(Composições!A1555,#REF!,0),1))</f>
        <v>#REF!</v>
      </c>
      <c r="E1555" s="27"/>
      <c r="F1555" s="42" t="s">
        <v>560</v>
      </c>
      <c r="G1555" s="28" t="str">
        <f t="shared" si="25"/>
        <v/>
      </c>
      <c r="H1555" s="29"/>
      <c r="I1555" s="30"/>
      <c r="J1555" s="155">
        <v>0</v>
      </c>
    </row>
    <row r="1556" spans="1:10" ht="15" hidden="1" thickBot="1" x14ac:dyDescent="0.35">
      <c r="A1556" s="229"/>
      <c r="B1556" s="224"/>
      <c r="C1556" s="32"/>
      <c r="D1556" s="32"/>
      <c r="E1556" s="33"/>
      <c r="F1556" s="43" t="s">
        <v>560</v>
      </c>
      <c r="G1556" s="31" t="str">
        <f t="shared" si="25"/>
        <v/>
      </c>
      <c r="H1556" s="35"/>
      <c r="I1556" s="31"/>
      <c r="J1556" s="155">
        <v>0</v>
      </c>
    </row>
    <row r="1557" spans="1:10" ht="15" hidden="1" thickBot="1" x14ac:dyDescent="0.35">
      <c r="A1557" s="229"/>
      <c r="B1557" s="224"/>
      <c r="C1557" s="36" t="s">
        <v>30</v>
      </c>
      <c r="D1557" s="36" t="s">
        <v>12</v>
      </c>
      <c r="E1557" s="37">
        <v>7.0000000000000007E-2</v>
      </c>
      <c r="F1557" s="31">
        <v>20.484999999999999</v>
      </c>
      <c r="G1557" s="31">
        <f t="shared" si="25"/>
        <v>1.4339500000000001</v>
      </c>
      <c r="H1557" s="39">
        <f>SUM(G1557:G1560)</f>
        <v>8.1025314999999996</v>
      </c>
      <c r="I1557" s="40"/>
      <c r="J1557" s="155">
        <v>0</v>
      </c>
    </row>
    <row r="1558" spans="1:10" ht="15" hidden="1" thickBot="1" x14ac:dyDescent="0.35">
      <c r="A1558" s="229"/>
      <c r="B1558" s="224"/>
      <c r="C1558" s="36" t="s">
        <v>74</v>
      </c>
      <c r="D1558" s="36" t="s">
        <v>12</v>
      </c>
      <c r="E1558" s="37">
        <v>7.0000000000000007E-2</v>
      </c>
      <c r="F1558" s="31">
        <v>15.928999999999998</v>
      </c>
      <c r="G1558" s="31">
        <f t="shared" si="25"/>
        <v>1.11503</v>
      </c>
      <c r="H1558" s="35"/>
      <c r="I1558" s="31"/>
      <c r="J1558" s="155">
        <v>0</v>
      </c>
    </row>
    <row r="1559" spans="1:10" ht="27" hidden="1" thickBot="1" x14ac:dyDescent="0.35">
      <c r="A1559" s="229"/>
      <c r="B1559" s="224"/>
      <c r="C1559" s="36" t="s">
        <v>524</v>
      </c>
      <c r="D1559" s="36" t="s">
        <v>93</v>
      </c>
      <c r="E1559" s="37">
        <v>1.1000000000000001</v>
      </c>
      <c r="F1559" s="34">
        <v>2.9664999999999999</v>
      </c>
      <c r="G1559" s="31">
        <f t="shared" si="25"/>
        <v>3.26315</v>
      </c>
      <c r="H1559" s="35"/>
      <c r="I1559" s="31"/>
      <c r="J1559" s="155">
        <v>0</v>
      </c>
    </row>
    <row r="1560" spans="1:10" ht="40.200000000000003" hidden="1" thickBot="1" x14ac:dyDescent="0.35">
      <c r="A1560" s="229"/>
      <c r="B1560" s="224"/>
      <c r="C1560" s="36" t="s">
        <v>522</v>
      </c>
      <c r="D1560" s="36" t="s">
        <v>93</v>
      </c>
      <c r="E1560" s="37">
        <v>1</v>
      </c>
      <c r="F1560" s="34">
        <v>2.2904014999999998</v>
      </c>
      <c r="G1560" s="31">
        <f t="shared" si="25"/>
        <v>2.2904014999999998</v>
      </c>
      <c r="H1560" s="35"/>
      <c r="I1560" s="31"/>
      <c r="J1560" s="155">
        <v>0</v>
      </c>
    </row>
    <row r="1561" spans="1:10" ht="15" hidden="1" thickBot="1" x14ac:dyDescent="0.35">
      <c r="A1561" s="230"/>
      <c r="B1561" s="225"/>
      <c r="C1561" s="36"/>
      <c r="D1561" s="36"/>
      <c r="E1561" s="37"/>
      <c r="F1561" s="31" t="s">
        <v>560</v>
      </c>
      <c r="G1561" s="31" t="str">
        <f t="shared" si="25"/>
        <v/>
      </c>
      <c r="H1561" s="35"/>
      <c r="I1561" s="31"/>
      <c r="J1561" s="155">
        <v>0</v>
      </c>
    </row>
    <row r="1562" spans="1:10" ht="15" thickBot="1" x14ac:dyDescent="0.35">
      <c r="A1562" s="226" t="s">
        <v>525</v>
      </c>
      <c r="B1562" s="223" t="str">
        <f>INDEX(Orçamentária!A:B,MATCH(Composições!A1562,Orçamentária!A:A,0),2)</f>
        <v>Eletroduto flexível metálico com capa de PVC 1’’</v>
      </c>
      <c r="C1562" s="41"/>
      <c r="D1562" s="26" t="str">
        <f>TRIM(INDEX(Orçamentária!C:C,MATCH(Composições!A1562,Orçamentária!A:A,0),1))</f>
        <v>m</v>
      </c>
      <c r="E1562" s="27"/>
      <c r="F1562" s="42" t="s">
        <v>560</v>
      </c>
      <c r="G1562" s="28" t="str">
        <f t="shared" si="25"/>
        <v/>
      </c>
      <c r="H1562" s="29"/>
      <c r="I1562" s="30"/>
      <c r="J1562" s="155">
        <v>5</v>
      </c>
    </row>
    <row r="1563" spans="1:10" x14ac:dyDescent="0.3">
      <c r="A1563" s="229"/>
      <c r="B1563" s="224"/>
      <c r="C1563" s="32"/>
      <c r="D1563" s="32"/>
      <c r="E1563" s="33"/>
      <c r="F1563" s="43" t="s">
        <v>560</v>
      </c>
      <c r="G1563" s="31" t="str">
        <f t="shared" si="25"/>
        <v/>
      </c>
      <c r="H1563" s="35"/>
      <c r="I1563" s="31"/>
      <c r="J1563" s="155">
        <v>5</v>
      </c>
    </row>
    <row r="1564" spans="1:10" ht="26.4" x14ac:dyDescent="0.3">
      <c r="A1564" s="229"/>
      <c r="B1564" s="224"/>
      <c r="C1564" s="36" t="s">
        <v>526</v>
      </c>
      <c r="D1564" s="36" t="s">
        <v>93</v>
      </c>
      <c r="E1564" s="37">
        <v>1.1000000000000001</v>
      </c>
      <c r="F1564" s="34">
        <v>11.942500000000001</v>
      </c>
      <c r="G1564" s="31">
        <f t="shared" si="25"/>
        <v>13.136750000000001</v>
      </c>
      <c r="H1564" s="39">
        <f>SUM(G1564:G1567)</f>
        <v>17.071978000000001</v>
      </c>
      <c r="I1564" s="40"/>
      <c r="J1564" s="155">
        <v>5</v>
      </c>
    </row>
    <row r="1565" spans="1:10" ht="26.4" x14ac:dyDescent="0.3">
      <c r="A1565" s="229"/>
      <c r="B1565" s="224"/>
      <c r="C1565" s="36" t="s">
        <v>1912</v>
      </c>
      <c r="D1565" s="36" t="s">
        <v>42</v>
      </c>
      <c r="E1565" s="37">
        <v>2E-3</v>
      </c>
      <c r="F1565" s="34">
        <v>19.465</v>
      </c>
      <c r="G1565" s="31">
        <f t="shared" si="25"/>
        <v>3.8929999999999999E-2</v>
      </c>
      <c r="H1565" s="35"/>
      <c r="I1565" s="31"/>
      <c r="J1565" s="155">
        <v>5</v>
      </c>
    </row>
    <row r="1566" spans="1:10" x14ac:dyDescent="0.3">
      <c r="A1566" s="229"/>
      <c r="B1566" s="224"/>
      <c r="C1566" s="36" t="s">
        <v>74</v>
      </c>
      <c r="D1566" s="47" t="s">
        <v>12</v>
      </c>
      <c r="E1566" s="37">
        <v>0.107</v>
      </c>
      <c r="F1566" s="31">
        <v>15.928999999999998</v>
      </c>
      <c r="G1566" s="31">
        <f t="shared" si="25"/>
        <v>1.7044029999999999</v>
      </c>
      <c r="H1566" s="35"/>
      <c r="I1566" s="31"/>
      <c r="J1566" s="155">
        <v>5</v>
      </c>
    </row>
    <row r="1567" spans="1:10" x14ac:dyDescent="0.3">
      <c r="A1567" s="229"/>
      <c r="B1567" s="224"/>
      <c r="C1567" s="36" t="s">
        <v>30</v>
      </c>
      <c r="D1567" s="36" t="s">
        <v>12</v>
      </c>
      <c r="E1567" s="37">
        <v>0.107</v>
      </c>
      <c r="F1567" s="31">
        <v>20.484999999999999</v>
      </c>
      <c r="G1567" s="31">
        <f t="shared" si="25"/>
        <v>2.1918949999999997</v>
      </c>
      <c r="H1567" s="35"/>
      <c r="I1567" s="31"/>
      <c r="J1567" s="155">
        <v>5</v>
      </c>
    </row>
    <row r="1568" spans="1:10" ht="15" thickBot="1" x14ac:dyDescent="0.35">
      <c r="A1568" s="230"/>
      <c r="B1568" s="225"/>
      <c r="C1568" s="36"/>
      <c r="D1568" s="36"/>
      <c r="E1568" s="37"/>
      <c r="F1568" s="31" t="s">
        <v>560</v>
      </c>
      <c r="G1568" s="31" t="str">
        <f t="shared" si="25"/>
        <v/>
      </c>
      <c r="H1568" s="35"/>
      <c r="I1568" s="31"/>
      <c r="J1568" s="155">
        <v>5</v>
      </c>
    </row>
    <row r="1569" spans="1:10" ht="15" hidden="1" thickBot="1" x14ac:dyDescent="0.35">
      <c r="A1569" s="226" t="s">
        <v>527</v>
      </c>
      <c r="B1569" s="223" t="e">
        <f>INDEX(#REF!,MATCH(Composições!A1569,#REF!,0),2)</f>
        <v>#REF!</v>
      </c>
      <c r="C1569" s="41"/>
      <c r="D1569" s="26" t="e">
        <f>TRIM(INDEX(#REF!,MATCH(Composições!A1569,#REF!,0),1))</f>
        <v>#REF!</v>
      </c>
      <c r="E1569" s="27"/>
      <c r="F1569" s="42" t="s">
        <v>560</v>
      </c>
      <c r="G1569" s="28" t="str">
        <f t="shared" si="25"/>
        <v/>
      </c>
      <c r="H1569" s="29"/>
      <c r="I1569" s="30"/>
      <c r="J1569" s="155">
        <v>0</v>
      </c>
    </row>
    <row r="1570" spans="1:10" ht="15" hidden="1" thickBot="1" x14ac:dyDescent="0.35">
      <c r="A1570" s="229"/>
      <c r="B1570" s="224"/>
      <c r="C1570" s="32"/>
      <c r="D1570" s="32"/>
      <c r="E1570" s="33"/>
      <c r="F1570" s="43" t="s">
        <v>560</v>
      </c>
      <c r="G1570" s="31" t="str">
        <f t="shared" si="25"/>
        <v/>
      </c>
      <c r="H1570" s="35"/>
      <c r="I1570" s="31"/>
      <c r="J1570" s="155">
        <v>0</v>
      </c>
    </row>
    <row r="1571" spans="1:10" ht="27" hidden="1" thickBot="1" x14ac:dyDescent="0.35">
      <c r="A1571" s="229"/>
      <c r="B1571" s="224"/>
      <c r="C1571" s="36" t="s">
        <v>528</v>
      </c>
      <c r="D1571" s="36" t="s">
        <v>93</v>
      </c>
      <c r="E1571" s="37">
        <v>1.1000000000000001</v>
      </c>
      <c r="F1571" s="34">
        <v>9.1120000000000001</v>
      </c>
      <c r="G1571" s="34">
        <f t="shared" si="25"/>
        <v>10.023200000000001</v>
      </c>
      <c r="H1571" s="39">
        <f>SUM(G1571:G1574)</f>
        <v>13.226255000000002</v>
      </c>
      <c r="I1571" s="40"/>
      <c r="J1571" s="155">
        <v>0</v>
      </c>
    </row>
    <row r="1572" spans="1:10" ht="27" hidden="1" thickBot="1" x14ac:dyDescent="0.35">
      <c r="A1572" s="229"/>
      <c r="B1572" s="224"/>
      <c r="C1572" s="36" t="s">
        <v>1912</v>
      </c>
      <c r="D1572" s="36" t="s">
        <v>42</v>
      </c>
      <c r="E1572" s="37">
        <v>1.8E-3</v>
      </c>
      <c r="F1572" s="34">
        <v>19.465</v>
      </c>
      <c r="G1572" s="34">
        <f t="shared" si="25"/>
        <v>3.5036999999999999E-2</v>
      </c>
      <c r="H1572" s="35"/>
      <c r="I1572" s="31"/>
      <c r="J1572" s="155">
        <v>0</v>
      </c>
    </row>
    <row r="1573" spans="1:10" ht="15" hidden="1" thickBot="1" x14ac:dyDescent="0.35">
      <c r="A1573" s="229"/>
      <c r="B1573" s="224"/>
      <c r="C1573" s="36" t="s">
        <v>74</v>
      </c>
      <c r="D1573" s="47" t="s">
        <v>12</v>
      </c>
      <c r="E1573" s="37">
        <v>8.6999999999999994E-2</v>
      </c>
      <c r="F1573" s="31">
        <v>15.928999999999998</v>
      </c>
      <c r="G1573" s="34">
        <f t="shared" si="25"/>
        <v>1.3858229999999998</v>
      </c>
      <c r="H1573" s="35"/>
      <c r="I1573" s="31"/>
      <c r="J1573" s="155">
        <v>0</v>
      </c>
    </row>
    <row r="1574" spans="1:10" ht="15" hidden="1" thickBot="1" x14ac:dyDescent="0.35">
      <c r="A1574" s="229"/>
      <c r="B1574" s="224"/>
      <c r="C1574" s="36" t="s">
        <v>30</v>
      </c>
      <c r="D1574" s="36" t="s">
        <v>12</v>
      </c>
      <c r="E1574" s="37">
        <v>8.6999999999999994E-2</v>
      </c>
      <c r="F1574" s="31">
        <v>20.484999999999999</v>
      </c>
      <c r="G1574" s="34">
        <f t="shared" si="25"/>
        <v>1.7821949999999998</v>
      </c>
      <c r="H1574" s="35"/>
      <c r="I1574" s="31"/>
      <c r="J1574" s="155">
        <v>0</v>
      </c>
    </row>
    <row r="1575" spans="1:10" ht="15" hidden="1" thickBot="1" x14ac:dyDescent="0.35">
      <c r="A1575" s="230"/>
      <c r="B1575" s="225"/>
      <c r="C1575" s="36"/>
      <c r="D1575" s="36"/>
      <c r="E1575" s="37"/>
      <c r="F1575" s="31" t="s">
        <v>560</v>
      </c>
      <c r="G1575" s="31" t="str">
        <f t="shared" si="25"/>
        <v/>
      </c>
      <c r="H1575" s="35"/>
      <c r="I1575" s="31"/>
      <c r="J1575" s="155">
        <v>0</v>
      </c>
    </row>
    <row r="1576" spans="1:10" ht="15" thickBot="1" x14ac:dyDescent="0.35">
      <c r="A1576" s="226" t="s">
        <v>529</v>
      </c>
      <c r="B1576" s="223" t="str">
        <f>INDEX(Orçamentária!A:B,MATCH(Composições!A1576,Orçamentária!A:A,0),2)</f>
        <v>Perfilado 38x38mm</v>
      </c>
      <c r="C1576" s="41"/>
      <c r="D1576" s="26" t="str">
        <f>TRIM(INDEX(Orçamentária!C:C,MATCH(Composições!A1576,Orçamentária!A:A,0),1))</f>
        <v>m</v>
      </c>
      <c r="E1576" s="27"/>
      <c r="F1576" s="42" t="s">
        <v>560</v>
      </c>
      <c r="G1576" s="28" t="str">
        <f t="shared" si="25"/>
        <v/>
      </c>
      <c r="H1576" s="29"/>
      <c r="I1576" s="30"/>
      <c r="J1576" s="155">
        <v>10</v>
      </c>
    </row>
    <row r="1577" spans="1:10" x14ac:dyDescent="0.3">
      <c r="A1577" s="229"/>
      <c r="B1577" s="224"/>
      <c r="C1577" s="32"/>
      <c r="D1577" s="32"/>
      <c r="E1577" s="33"/>
      <c r="F1577" s="43" t="s">
        <v>560</v>
      </c>
      <c r="G1577" s="31" t="str">
        <f t="shared" si="25"/>
        <v/>
      </c>
      <c r="H1577" s="35"/>
      <c r="I1577" s="31"/>
      <c r="J1577" s="155">
        <v>10</v>
      </c>
    </row>
    <row r="1578" spans="1:10" x14ac:dyDescent="0.3">
      <c r="A1578" s="229"/>
      <c r="B1578" s="224"/>
      <c r="C1578" s="36" t="s">
        <v>530</v>
      </c>
      <c r="D1578" s="36" t="s">
        <v>93</v>
      </c>
      <c r="E1578" s="37">
        <v>1.05</v>
      </c>
      <c r="F1578" s="34">
        <v>22.52</v>
      </c>
      <c r="G1578" s="34">
        <f t="shared" si="25"/>
        <v>23.646000000000001</v>
      </c>
      <c r="H1578" s="39">
        <f>SUM(G1578:G1589)</f>
        <v>59.912479950000005</v>
      </c>
      <c r="I1578" s="40"/>
      <c r="J1578" s="155">
        <v>10</v>
      </c>
    </row>
    <row r="1579" spans="1:10" x14ac:dyDescent="0.3">
      <c r="A1579" s="229"/>
      <c r="B1579" s="224"/>
      <c r="C1579" s="36" t="s">
        <v>74</v>
      </c>
      <c r="D1579" s="36" t="s">
        <v>12</v>
      </c>
      <c r="E1579" s="37">
        <v>0.45</v>
      </c>
      <c r="F1579" s="31">
        <v>15.928999999999998</v>
      </c>
      <c r="G1579" s="34">
        <f t="shared" si="25"/>
        <v>7.1680499999999991</v>
      </c>
      <c r="H1579" s="35"/>
      <c r="I1579" s="31"/>
      <c r="J1579" s="155">
        <v>10</v>
      </c>
    </row>
    <row r="1580" spans="1:10" x14ac:dyDescent="0.3">
      <c r="A1580" s="229"/>
      <c r="B1580" s="224"/>
      <c r="C1580" s="36" t="s">
        <v>30</v>
      </c>
      <c r="D1580" s="36" t="s">
        <v>12</v>
      </c>
      <c r="E1580" s="37">
        <v>0.45</v>
      </c>
      <c r="F1580" s="31">
        <v>20.484999999999999</v>
      </c>
      <c r="G1580" s="34">
        <f t="shared" si="25"/>
        <v>9.2182499999999994</v>
      </c>
      <c r="H1580" s="35"/>
      <c r="I1580" s="31"/>
      <c r="J1580" s="155">
        <v>10</v>
      </c>
    </row>
    <row r="1581" spans="1:10" ht="26.4" x14ac:dyDescent="0.3">
      <c r="A1581" s="229"/>
      <c r="B1581" s="224"/>
      <c r="C1581" s="36" t="s">
        <v>469</v>
      </c>
      <c r="D1581" s="36" t="s">
        <v>147</v>
      </c>
      <c r="E1581" s="37">
        <v>0.67</v>
      </c>
      <c r="F1581" s="31">
        <v>7.6669999999999998</v>
      </c>
      <c r="G1581" s="34">
        <f t="shared" si="25"/>
        <v>5.1368900000000002</v>
      </c>
      <c r="H1581" s="35"/>
      <c r="I1581" s="31"/>
      <c r="J1581" s="155">
        <v>10</v>
      </c>
    </row>
    <row r="1582" spans="1:10" x14ac:dyDescent="0.3">
      <c r="A1582" s="229"/>
      <c r="B1582" s="224"/>
      <c r="C1582" s="36" t="s">
        <v>531</v>
      </c>
      <c r="D1582" s="36" t="s">
        <v>147</v>
      </c>
      <c r="E1582" s="37">
        <v>0.67</v>
      </c>
      <c r="F1582" s="31">
        <v>1.7084999999999997</v>
      </c>
      <c r="G1582" s="34">
        <f t="shared" si="25"/>
        <v>1.1446949999999998</v>
      </c>
      <c r="H1582" s="35"/>
      <c r="I1582" s="31"/>
      <c r="J1582" s="155">
        <v>10</v>
      </c>
    </row>
    <row r="1583" spans="1:10" x14ac:dyDescent="0.3">
      <c r="A1583" s="229"/>
      <c r="B1583" s="224"/>
      <c r="C1583" s="36" t="s">
        <v>471</v>
      </c>
      <c r="D1583" s="36" t="s">
        <v>93</v>
      </c>
      <c r="E1583" s="37">
        <v>0.8</v>
      </c>
      <c r="F1583" s="31">
        <v>6.1709999999999994</v>
      </c>
      <c r="G1583" s="34">
        <f t="shared" si="25"/>
        <v>4.9367999999999999</v>
      </c>
      <c r="H1583" s="35"/>
      <c r="I1583" s="31"/>
      <c r="J1583" s="155">
        <v>10</v>
      </c>
    </row>
    <row r="1584" spans="1:10" x14ac:dyDescent="0.3">
      <c r="A1584" s="229"/>
      <c r="B1584" s="224"/>
      <c r="C1584" s="36" t="s">
        <v>472</v>
      </c>
      <c r="D1584" s="36" t="s">
        <v>292</v>
      </c>
      <c r="E1584" s="37">
        <v>2.6633</v>
      </c>
      <c r="F1584" s="34">
        <v>0.17</v>
      </c>
      <c r="G1584" s="34">
        <f t="shared" si="25"/>
        <v>0.45276100000000002</v>
      </c>
      <c r="H1584" s="35"/>
      <c r="I1584" s="31"/>
      <c r="J1584" s="155">
        <v>10</v>
      </c>
    </row>
    <row r="1585" spans="1:10" x14ac:dyDescent="0.3">
      <c r="A1585" s="229"/>
      <c r="B1585" s="224"/>
      <c r="C1585" s="36" t="s">
        <v>473</v>
      </c>
      <c r="D1585" s="36" t="s">
        <v>147</v>
      </c>
      <c r="E1585" s="37">
        <v>2.6633</v>
      </c>
      <c r="F1585" s="31">
        <v>6.8000000000000005E-2</v>
      </c>
      <c r="G1585" s="34">
        <f t="shared" si="25"/>
        <v>0.18110440000000003</v>
      </c>
      <c r="H1585" s="35"/>
      <c r="I1585" s="31"/>
      <c r="J1585" s="155">
        <v>10</v>
      </c>
    </row>
    <row r="1586" spans="1:10" x14ac:dyDescent="0.3">
      <c r="A1586" s="229"/>
      <c r="B1586" s="224"/>
      <c r="C1586" s="36" t="s">
        <v>475</v>
      </c>
      <c r="D1586" s="36" t="s">
        <v>147</v>
      </c>
      <c r="E1586" s="37">
        <v>0.67</v>
      </c>
      <c r="F1586" s="31">
        <v>1.9379999999999997</v>
      </c>
      <c r="G1586" s="34">
        <f t="shared" si="25"/>
        <v>1.2984599999999999</v>
      </c>
      <c r="H1586" s="35"/>
      <c r="I1586" s="31"/>
      <c r="J1586" s="155">
        <v>10</v>
      </c>
    </row>
    <row r="1587" spans="1:10" x14ac:dyDescent="0.3">
      <c r="A1587" s="229"/>
      <c r="B1587" s="224"/>
      <c r="C1587" s="36" t="s">
        <v>476</v>
      </c>
      <c r="D1587" s="36" t="s">
        <v>20</v>
      </c>
      <c r="E1587" s="37">
        <v>1.33</v>
      </c>
      <c r="F1587" s="31">
        <v>0.34849999999999998</v>
      </c>
      <c r="G1587" s="34">
        <f t="shared" si="25"/>
        <v>0.463505</v>
      </c>
      <c r="H1587" s="35"/>
      <c r="I1587" s="31"/>
      <c r="J1587" s="155">
        <v>10</v>
      </c>
    </row>
    <row r="1588" spans="1:10" x14ac:dyDescent="0.3">
      <c r="A1588" s="229"/>
      <c r="B1588" s="224"/>
      <c r="C1588" s="36" t="s">
        <v>532</v>
      </c>
      <c r="D1588" s="36" t="s">
        <v>147</v>
      </c>
      <c r="E1588" s="37">
        <v>0.33329999999999999</v>
      </c>
      <c r="F1588" s="31">
        <v>2.8134999999999999</v>
      </c>
      <c r="G1588" s="34">
        <f t="shared" si="25"/>
        <v>0.93773954999999987</v>
      </c>
      <c r="H1588" s="35"/>
      <c r="I1588" s="31"/>
      <c r="J1588" s="155">
        <v>10</v>
      </c>
    </row>
    <row r="1589" spans="1:10" x14ac:dyDescent="0.3">
      <c r="A1589" s="229"/>
      <c r="B1589" s="224"/>
      <c r="C1589" s="36" t="s">
        <v>533</v>
      </c>
      <c r="D1589" s="36" t="s">
        <v>93</v>
      </c>
      <c r="E1589" s="37">
        <v>1.05</v>
      </c>
      <c r="F1589" s="31">
        <v>5.0744999999999996</v>
      </c>
      <c r="G1589" s="34">
        <f t="shared" si="25"/>
        <v>5.3282249999999998</v>
      </c>
      <c r="H1589" s="35"/>
      <c r="I1589" s="31"/>
      <c r="J1589" s="155">
        <v>10</v>
      </c>
    </row>
    <row r="1590" spans="1:10" ht="15" thickBot="1" x14ac:dyDescent="0.35">
      <c r="A1590" s="230"/>
      <c r="B1590" s="225"/>
      <c r="C1590" s="36"/>
      <c r="D1590" s="36"/>
      <c r="E1590" s="37"/>
      <c r="F1590" s="31" t="s">
        <v>560</v>
      </c>
      <c r="G1590" s="31" t="str">
        <f t="shared" si="25"/>
        <v/>
      </c>
      <c r="H1590" s="35"/>
      <c r="I1590" s="31"/>
      <c r="J1590" s="155">
        <v>10</v>
      </c>
    </row>
    <row r="1591" spans="1:10" ht="15" hidden="1" thickBot="1" x14ac:dyDescent="0.35">
      <c r="A1591" s="226" t="s">
        <v>534</v>
      </c>
      <c r="B1591" s="223" t="e">
        <f>INDEX(#REF!,MATCH(Composições!A1591,#REF!,0),2)</f>
        <v>#REF!</v>
      </c>
      <c r="C1591" s="41"/>
      <c r="D1591" s="26" t="e">
        <f>TRIM(INDEX(#REF!,MATCH(Composições!A1591,#REF!,0),1))</f>
        <v>#REF!</v>
      </c>
      <c r="E1591" s="27"/>
      <c r="F1591" s="42" t="s">
        <v>560</v>
      </c>
      <c r="G1591" s="28" t="str">
        <f t="shared" si="25"/>
        <v/>
      </c>
      <c r="H1591" s="29"/>
      <c r="I1591" s="30"/>
      <c r="J1591" s="155">
        <v>0</v>
      </c>
    </row>
    <row r="1592" spans="1:10" ht="15" hidden="1" thickBot="1" x14ac:dyDescent="0.35">
      <c r="A1592" s="229"/>
      <c r="B1592" s="224"/>
      <c r="C1592" s="32"/>
      <c r="D1592" s="32"/>
      <c r="E1592" s="33"/>
      <c r="F1592" s="43" t="s">
        <v>560</v>
      </c>
      <c r="G1592" s="31" t="str">
        <f t="shared" si="25"/>
        <v/>
      </c>
      <c r="H1592" s="35"/>
      <c r="I1592" s="31"/>
      <c r="J1592" s="155">
        <v>0</v>
      </c>
    </row>
    <row r="1593" spans="1:10" ht="27" hidden="1" thickBot="1" x14ac:dyDescent="0.35">
      <c r="A1593" s="229"/>
      <c r="B1593" s="224"/>
      <c r="C1593" s="36" t="s">
        <v>535</v>
      </c>
      <c r="D1593" s="36" t="s">
        <v>20</v>
      </c>
      <c r="E1593" s="37">
        <v>1</v>
      </c>
      <c r="F1593" s="34">
        <v>2.1930000000000001</v>
      </c>
      <c r="G1593" s="34">
        <f t="shared" si="25"/>
        <v>2.1930000000000001</v>
      </c>
      <c r="H1593" s="39">
        <f>SUM(G1593:G1595)</f>
        <v>5.1346799999999995</v>
      </c>
      <c r="I1593" s="40"/>
      <c r="J1593" s="155">
        <v>0</v>
      </c>
    </row>
    <row r="1594" spans="1:10" ht="27" hidden="1" thickBot="1" x14ac:dyDescent="0.35">
      <c r="A1594" s="229"/>
      <c r="B1594" s="224"/>
      <c r="C1594" s="36" t="s">
        <v>536</v>
      </c>
      <c r="D1594" s="36" t="s">
        <v>20</v>
      </c>
      <c r="E1594" s="37">
        <v>1</v>
      </c>
      <c r="F1594" s="34">
        <v>1.139</v>
      </c>
      <c r="G1594" s="34">
        <f t="shared" si="25"/>
        <v>1.139</v>
      </c>
      <c r="H1594" s="35"/>
      <c r="I1594" s="31"/>
      <c r="J1594" s="155">
        <v>0</v>
      </c>
    </row>
    <row r="1595" spans="1:10" ht="15" hidden="1" thickBot="1" x14ac:dyDescent="0.35">
      <c r="A1595" s="229"/>
      <c r="B1595" s="224"/>
      <c r="C1595" s="36" t="s">
        <v>30</v>
      </c>
      <c r="D1595" s="36" t="s">
        <v>12</v>
      </c>
      <c r="E1595" s="37">
        <v>8.7999999999999995E-2</v>
      </c>
      <c r="F1595" s="31">
        <v>20.484999999999999</v>
      </c>
      <c r="G1595" s="34">
        <f t="shared" si="25"/>
        <v>1.8026799999999998</v>
      </c>
      <c r="H1595" s="35"/>
      <c r="I1595" s="31"/>
      <c r="J1595" s="155">
        <v>0</v>
      </c>
    </row>
    <row r="1596" spans="1:10" ht="15" hidden="1" thickBot="1" x14ac:dyDescent="0.35">
      <c r="A1596" s="230"/>
      <c r="B1596" s="225"/>
      <c r="C1596" s="36"/>
      <c r="D1596" s="36"/>
      <c r="E1596" s="37"/>
      <c r="F1596" s="31" t="s">
        <v>560</v>
      </c>
      <c r="G1596" s="31" t="str">
        <f t="shared" si="25"/>
        <v/>
      </c>
      <c r="H1596" s="35"/>
      <c r="I1596" s="31"/>
      <c r="J1596" s="155">
        <v>0</v>
      </c>
    </row>
    <row r="1597" spans="1:10" ht="15" hidden="1" thickBot="1" x14ac:dyDescent="0.35">
      <c r="A1597" s="226" t="s">
        <v>537</v>
      </c>
      <c r="B1597" s="223" t="e">
        <f>INDEX(#REF!,MATCH(Composições!A1597,#REF!,0),2)</f>
        <v>#REF!</v>
      </c>
      <c r="C1597" s="41"/>
      <c r="D1597" s="26" t="e">
        <f>TRIM(INDEX(#REF!,MATCH(Composições!A1597,#REF!,0),1))</f>
        <v>#REF!</v>
      </c>
      <c r="E1597" s="27"/>
      <c r="F1597" s="42" t="s">
        <v>560</v>
      </c>
      <c r="G1597" s="28" t="str">
        <f t="shared" si="25"/>
        <v/>
      </c>
      <c r="H1597" s="29"/>
      <c r="I1597" s="30"/>
      <c r="J1597" s="155">
        <v>0</v>
      </c>
    </row>
    <row r="1598" spans="1:10" ht="15" hidden="1" thickBot="1" x14ac:dyDescent="0.35">
      <c r="A1598" s="229"/>
      <c r="B1598" s="224"/>
      <c r="C1598" s="32"/>
      <c r="D1598" s="32"/>
      <c r="E1598" s="33"/>
      <c r="F1598" s="43" t="s">
        <v>560</v>
      </c>
      <c r="G1598" s="31" t="str">
        <f t="shared" si="25"/>
        <v/>
      </c>
      <c r="H1598" s="35"/>
      <c r="I1598" s="31"/>
      <c r="J1598" s="155">
        <v>0</v>
      </c>
    </row>
    <row r="1599" spans="1:10" ht="27" hidden="1" thickBot="1" x14ac:dyDescent="0.35">
      <c r="A1599" s="229"/>
      <c r="B1599" s="224"/>
      <c r="C1599" s="36" t="s">
        <v>538</v>
      </c>
      <c r="D1599" s="36" t="s">
        <v>20</v>
      </c>
      <c r="E1599" s="37">
        <v>1</v>
      </c>
      <c r="F1599" s="34">
        <v>4.4539999999999997</v>
      </c>
      <c r="G1599" s="31">
        <f t="shared" si="25"/>
        <v>4.4539999999999997</v>
      </c>
      <c r="H1599" s="39">
        <f>SUM(G1599:G1601)</f>
        <v>8.4459400000000002</v>
      </c>
      <c r="I1599" s="40"/>
      <c r="J1599" s="155">
        <v>0</v>
      </c>
    </row>
    <row r="1600" spans="1:10" ht="27" hidden="1" thickBot="1" x14ac:dyDescent="0.35">
      <c r="A1600" s="229"/>
      <c r="B1600" s="224"/>
      <c r="C1600" s="36" t="s">
        <v>539</v>
      </c>
      <c r="D1600" s="47" t="s">
        <v>20</v>
      </c>
      <c r="E1600" s="37">
        <v>1</v>
      </c>
      <c r="F1600" s="34">
        <v>1.8614999999999999</v>
      </c>
      <c r="G1600" s="34">
        <f t="shared" si="25"/>
        <v>1.8614999999999999</v>
      </c>
      <c r="H1600" s="35"/>
      <c r="I1600" s="31"/>
      <c r="J1600" s="155">
        <v>0</v>
      </c>
    </row>
    <row r="1601" spans="1:10" ht="15" hidden="1" thickBot="1" x14ac:dyDescent="0.35">
      <c r="A1601" s="229"/>
      <c r="B1601" s="224"/>
      <c r="C1601" s="36" t="s">
        <v>30</v>
      </c>
      <c r="D1601" s="36" t="s">
        <v>12</v>
      </c>
      <c r="E1601" s="37">
        <v>0.104</v>
      </c>
      <c r="F1601" s="31">
        <v>20.484999999999999</v>
      </c>
      <c r="G1601" s="34">
        <f t="shared" si="25"/>
        <v>2.1304399999999997</v>
      </c>
      <c r="H1601" s="35"/>
      <c r="I1601" s="31"/>
      <c r="J1601" s="155">
        <v>0</v>
      </c>
    </row>
    <row r="1602" spans="1:10" ht="15" hidden="1" thickBot="1" x14ac:dyDescent="0.35">
      <c r="A1602" s="230"/>
      <c r="B1602" s="225"/>
      <c r="C1602" s="36"/>
      <c r="D1602" s="36"/>
      <c r="E1602" s="37"/>
      <c r="F1602" s="31" t="s">
        <v>560</v>
      </c>
      <c r="G1602" s="31" t="str">
        <f t="shared" si="25"/>
        <v/>
      </c>
      <c r="H1602" s="35"/>
      <c r="I1602" s="31"/>
      <c r="J1602" s="155">
        <v>0</v>
      </c>
    </row>
    <row r="1603" spans="1:10" ht="15" hidden="1" thickBot="1" x14ac:dyDescent="0.35">
      <c r="A1603" s="226" t="s">
        <v>540</v>
      </c>
      <c r="B1603" s="223" t="e">
        <f>INDEX(#REF!,MATCH(Composições!A1603,#REF!,0),2)</f>
        <v>#REF!</v>
      </c>
      <c r="C1603" s="41"/>
      <c r="D1603" s="26" t="e">
        <f>TRIM(INDEX(#REF!,MATCH(Composições!A1603,#REF!,0),1))</f>
        <v>#REF!</v>
      </c>
      <c r="E1603" s="27"/>
      <c r="F1603" s="42" t="s">
        <v>560</v>
      </c>
      <c r="G1603" s="28" t="str">
        <f t="shared" si="25"/>
        <v/>
      </c>
      <c r="H1603" s="29"/>
      <c r="I1603" s="30"/>
      <c r="J1603" s="155">
        <v>0</v>
      </c>
    </row>
    <row r="1604" spans="1:10" ht="15" hidden="1" thickBot="1" x14ac:dyDescent="0.35">
      <c r="A1604" s="229"/>
      <c r="B1604" s="224"/>
      <c r="C1604" s="32"/>
      <c r="D1604" s="32"/>
      <c r="E1604" s="33"/>
      <c r="F1604" s="43" t="s">
        <v>560</v>
      </c>
      <c r="G1604" s="31" t="str">
        <f t="shared" si="25"/>
        <v/>
      </c>
      <c r="H1604" s="35"/>
      <c r="I1604" s="31"/>
      <c r="J1604" s="155">
        <v>0</v>
      </c>
    </row>
    <row r="1605" spans="1:10" ht="15" hidden="1" thickBot="1" x14ac:dyDescent="0.35">
      <c r="A1605" s="229"/>
      <c r="B1605" s="224"/>
      <c r="C1605" s="36" t="s">
        <v>541</v>
      </c>
      <c r="D1605" s="36" t="s">
        <v>20</v>
      </c>
      <c r="E1605" s="37">
        <v>1</v>
      </c>
      <c r="F1605" s="34" t="s">
        <v>560</v>
      </c>
      <c r="G1605" s="31" t="str">
        <f t="shared" si="25"/>
        <v/>
      </c>
      <c r="H1605" s="39">
        <f>SUM(G1605:G1607)</f>
        <v>3.9919399999999996</v>
      </c>
      <c r="I1605" s="40"/>
      <c r="J1605" s="155">
        <v>0</v>
      </c>
    </row>
    <row r="1606" spans="1:10" ht="27" hidden="1" thickBot="1" x14ac:dyDescent="0.35">
      <c r="A1606" s="229"/>
      <c r="B1606" s="224"/>
      <c r="C1606" s="36" t="s">
        <v>539</v>
      </c>
      <c r="D1606" s="47" t="s">
        <v>20</v>
      </c>
      <c r="E1606" s="37">
        <v>1</v>
      </c>
      <c r="F1606" s="34">
        <v>1.8614999999999999</v>
      </c>
      <c r="G1606" s="34">
        <f t="shared" si="25"/>
        <v>1.8614999999999999</v>
      </c>
      <c r="H1606" s="35"/>
      <c r="I1606" s="31"/>
      <c r="J1606" s="155">
        <v>0</v>
      </c>
    </row>
    <row r="1607" spans="1:10" ht="15" hidden="1" thickBot="1" x14ac:dyDescent="0.35">
      <c r="A1607" s="229"/>
      <c r="B1607" s="224"/>
      <c r="C1607" s="36" t="s">
        <v>30</v>
      </c>
      <c r="D1607" s="36" t="s">
        <v>12</v>
      </c>
      <c r="E1607" s="37">
        <v>0.104</v>
      </c>
      <c r="F1607" s="31">
        <v>20.484999999999999</v>
      </c>
      <c r="G1607" s="34">
        <f t="shared" si="25"/>
        <v>2.1304399999999997</v>
      </c>
      <c r="H1607" s="35"/>
      <c r="I1607" s="31"/>
      <c r="J1607" s="155">
        <v>0</v>
      </c>
    </row>
    <row r="1608" spans="1:10" ht="15" hidden="1" thickBot="1" x14ac:dyDescent="0.35">
      <c r="A1608" s="230"/>
      <c r="B1608" s="225"/>
      <c r="C1608" s="36"/>
      <c r="D1608" s="36"/>
      <c r="E1608" s="37"/>
      <c r="F1608" s="31" t="s">
        <v>560</v>
      </c>
      <c r="G1608" s="31" t="str">
        <f t="shared" si="25"/>
        <v/>
      </c>
      <c r="H1608" s="35"/>
      <c r="I1608" s="31"/>
      <c r="J1608" s="155">
        <v>0</v>
      </c>
    </row>
    <row r="1609" spans="1:10" ht="15" thickBot="1" x14ac:dyDescent="0.35">
      <c r="A1609" s="226" t="s">
        <v>542</v>
      </c>
      <c r="B1609" s="223" t="str">
        <f>INDEX(Orçamentária!A:B,MATCH(Composições!A1609,Orçamentária!A:A,0),2)</f>
        <v>Interruptor para condulete</v>
      </c>
      <c r="C1609" s="41"/>
      <c r="D1609" s="26" t="str">
        <f>TRIM(INDEX(Orçamentária!C:C,MATCH(Composições!A1609,Orçamentária!A:A,0),1))</f>
        <v>un</v>
      </c>
      <c r="E1609" s="27"/>
      <c r="F1609" s="42" t="s">
        <v>560</v>
      </c>
      <c r="G1609" s="28" t="str">
        <f t="shared" si="25"/>
        <v/>
      </c>
      <c r="H1609" s="29"/>
      <c r="I1609" s="30"/>
      <c r="J1609" s="155">
        <v>6</v>
      </c>
    </row>
    <row r="1610" spans="1:10" x14ac:dyDescent="0.3">
      <c r="A1610" s="229"/>
      <c r="B1610" s="224"/>
      <c r="C1610" s="32"/>
      <c r="D1610" s="32"/>
      <c r="E1610" s="33"/>
      <c r="F1610" s="43" t="s">
        <v>560</v>
      </c>
      <c r="G1610" s="31" t="str">
        <f t="shared" si="25"/>
        <v/>
      </c>
      <c r="H1610" s="35"/>
      <c r="I1610" s="31"/>
      <c r="J1610" s="155">
        <v>6</v>
      </c>
    </row>
    <row r="1611" spans="1:10" x14ac:dyDescent="0.3">
      <c r="A1611" s="229"/>
      <c r="B1611" s="224"/>
      <c r="C1611" s="36" t="s">
        <v>30</v>
      </c>
      <c r="D1611" s="36" t="s">
        <v>12</v>
      </c>
      <c r="E1611" s="37">
        <f>0.3/2</f>
        <v>0.15</v>
      </c>
      <c r="F1611" s="31">
        <v>20.484999999999999</v>
      </c>
      <c r="G1611" s="34">
        <f t="shared" si="25"/>
        <v>3.0727499999999996</v>
      </c>
      <c r="H1611" s="39">
        <f>SUM(G1611:G1614)</f>
        <v>18.092099999999999</v>
      </c>
      <c r="I1611" s="40"/>
      <c r="J1611" s="155">
        <v>6</v>
      </c>
    </row>
    <row r="1612" spans="1:10" x14ac:dyDescent="0.3">
      <c r="A1612" s="229"/>
      <c r="B1612" s="224"/>
      <c r="C1612" s="36" t="s">
        <v>74</v>
      </c>
      <c r="D1612" s="36" t="s">
        <v>12</v>
      </c>
      <c r="E1612" s="37">
        <f>0.3/2</f>
        <v>0.15</v>
      </c>
      <c r="F1612" s="31">
        <v>15.928999999999998</v>
      </c>
      <c r="G1612" s="34">
        <f t="shared" si="25"/>
        <v>2.3893499999999999</v>
      </c>
      <c r="H1612" s="35"/>
      <c r="I1612" s="31"/>
      <c r="J1612" s="155">
        <v>6</v>
      </c>
    </row>
    <row r="1613" spans="1:10" ht="26.4" x14ac:dyDescent="0.3">
      <c r="A1613" s="229"/>
      <c r="B1613" s="224"/>
      <c r="C1613" s="36" t="s">
        <v>543</v>
      </c>
      <c r="D1613" s="36" t="s">
        <v>20</v>
      </c>
      <c r="E1613" s="37">
        <v>1</v>
      </c>
      <c r="F1613" s="34">
        <v>4.97</v>
      </c>
      <c r="G1613" s="34">
        <f t="shared" si="25"/>
        <v>4.97</v>
      </c>
      <c r="H1613" s="35"/>
      <c r="I1613" s="31"/>
      <c r="J1613" s="155">
        <v>6</v>
      </c>
    </row>
    <row r="1614" spans="1:10" ht="26.4" x14ac:dyDescent="0.3">
      <c r="A1614" s="229"/>
      <c r="B1614" s="224"/>
      <c r="C1614" s="36" t="s">
        <v>544</v>
      </c>
      <c r="D1614" s="36" t="s">
        <v>20</v>
      </c>
      <c r="E1614" s="37">
        <v>1</v>
      </c>
      <c r="F1614" s="34">
        <v>7.66</v>
      </c>
      <c r="G1614" s="31">
        <f t="shared" si="25"/>
        <v>7.66</v>
      </c>
      <c r="H1614" s="35"/>
      <c r="I1614" s="31"/>
      <c r="J1614" s="155">
        <v>6</v>
      </c>
    </row>
    <row r="1615" spans="1:10" ht="15" thickBot="1" x14ac:dyDescent="0.35">
      <c r="A1615" s="230"/>
      <c r="B1615" s="225"/>
      <c r="C1615" s="36"/>
      <c r="D1615" s="36"/>
      <c r="E1615" s="37"/>
      <c r="F1615" s="31" t="s">
        <v>560</v>
      </c>
      <c r="G1615" s="31" t="str">
        <f t="shared" si="25"/>
        <v/>
      </c>
      <c r="H1615" s="35"/>
      <c r="I1615" s="31"/>
      <c r="J1615" s="155">
        <v>6</v>
      </c>
    </row>
    <row r="1616" spans="1:10" ht="15" hidden="1" thickBot="1" x14ac:dyDescent="0.35">
      <c r="A1616" s="226" t="s">
        <v>545</v>
      </c>
      <c r="B1616" s="223" t="e">
        <f>INDEX(#REF!,MATCH(Composições!A1616,#REF!,0),2)</f>
        <v>#REF!</v>
      </c>
      <c r="C1616" s="41"/>
      <c r="D1616" s="26" t="e">
        <f>TRIM(INDEX(#REF!,MATCH(Composições!A1616,#REF!,0),1))</f>
        <v>#REF!</v>
      </c>
      <c r="E1616" s="27"/>
      <c r="F1616" s="42" t="s">
        <v>560</v>
      </c>
      <c r="G1616" s="28" t="str">
        <f t="shared" si="25"/>
        <v/>
      </c>
      <c r="H1616" s="29"/>
      <c r="I1616" s="30"/>
      <c r="J1616" s="155">
        <v>0</v>
      </c>
    </row>
    <row r="1617" spans="1:10" ht="15" hidden="1" thickBot="1" x14ac:dyDescent="0.35">
      <c r="A1617" s="229"/>
      <c r="B1617" s="224"/>
      <c r="C1617" s="32"/>
      <c r="D1617" s="32"/>
      <c r="E1617" s="33"/>
      <c r="F1617" s="43" t="s">
        <v>560</v>
      </c>
      <c r="G1617" s="31" t="str">
        <f t="shared" si="25"/>
        <v/>
      </c>
      <c r="H1617" s="35"/>
      <c r="I1617" s="31"/>
      <c r="J1617" s="155">
        <v>0</v>
      </c>
    </row>
    <row r="1618" spans="1:10" ht="15" hidden="1" thickBot="1" x14ac:dyDescent="0.35">
      <c r="A1618" s="229"/>
      <c r="B1618" s="224"/>
      <c r="C1618" s="36" t="s">
        <v>30</v>
      </c>
      <c r="D1618" s="36" t="s">
        <v>12</v>
      </c>
      <c r="E1618" s="37">
        <v>0.1</v>
      </c>
      <c r="F1618" s="31">
        <v>20.484999999999999</v>
      </c>
      <c r="G1618" s="34">
        <f t="shared" ref="G1618:G1681" si="26">IF(ISNUMBER(F1618),E1618*F1618,"")</f>
        <v>2.0485000000000002</v>
      </c>
      <c r="H1618" s="39">
        <f>SUM(G1618:G1619)</f>
        <v>2.0485000000000002</v>
      </c>
      <c r="I1618" s="40"/>
      <c r="J1618" s="155">
        <v>0</v>
      </c>
    </row>
    <row r="1619" spans="1:10" ht="15" hidden="1" thickBot="1" x14ac:dyDescent="0.35">
      <c r="A1619" s="229"/>
      <c r="B1619" s="224"/>
      <c r="C1619" s="36" t="s">
        <v>546</v>
      </c>
      <c r="D1619" s="36" t="s">
        <v>20</v>
      </c>
      <c r="E1619" s="37">
        <v>1</v>
      </c>
      <c r="F1619" s="34" t="s">
        <v>560</v>
      </c>
      <c r="G1619" s="31" t="str">
        <f t="shared" si="26"/>
        <v/>
      </c>
      <c r="H1619" s="35"/>
      <c r="I1619" s="31"/>
      <c r="J1619" s="155">
        <v>0</v>
      </c>
    </row>
    <row r="1620" spans="1:10" ht="15" hidden="1" thickBot="1" x14ac:dyDescent="0.35">
      <c r="A1620" s="230"/>
      <c r="B1620" s="225"/>
      <c r="C1620" s="36"/>
      <c r="D1620" s="36"/>
      <c r="E1620" s="37"/>
      <c r="F1620" s="31" t="s">
        <v>560</v>
      </c>
      <c r="G1620" s="31" t="str">
        <f t="shared" si="26"/>
        <v/>
      </c>
      <c r="H1620" s="35"/>
      <c r="I1620" s="31"/>
      <c r="J1620" s="155">
        <v>0</v>
      </c>
    </row>
    <row r="1621" spans="1:10" ht="15" hidden="1" thickBot="1" x14ac:dyDescent="0.35">
      <c r="A1621" s="226" t="s">
        <v>547</v>
      </c>
      <c r="B1621" s="223" t="e">
        <f>INDEX(#REF!,MATCH(Composições!A1621,#REF!,0),2)</f>
        <v>#REF!</v>
      </c>
      <c r="C1621" s="41"/>
      <c r="D1621" s="26" t="e">
        <f>TRIM(INDEX(#REF!,MATCH(Composições!A1621,#REF!,0),1))</f>
        <v>#REF!</v>
      </c>
      <c r="E1621" s="27"/>
      <c r="F1621" s="42" t="s">
        <v>560</v>
      </c>
      <c r="G1621" s="28" t="str">
        <f t="shared" si="26"/>
        <v/>
      </c>
      <c r="H1621" s="29"/>
      <c r="I1621" s="30"/>
      <c r="J1621" s="155">
        <v>0</v>
      </c>
    </row>
    <row r="1622" spans="1:10" ht="15" hidden="1" thickBot="1" x14ac:dyDescent="0.35">
      <c r="A1622" s="229"/>
      <c r="B1622" s="224"/>
      <c r="C1622" s="32"/>
      <c r="D1622" s="32"/>
      <c r="E1622" s="33"/>
      <c r="F1622" s="43" t="s">
        <v>560</v>
      </c>
      <c r="G1622" s="31" t="str">
        <f t="shared" si="26"/>
        <v/>
      </c>
      <c r="H1622" s="35"/>
      <c r="I1622" s="31"/>
      <c r="J1622" s="155">
        <v>0</v>
      </c>
    </row>
    <row r="1623" spans="1:10" ht="15" hidden="1" thickBot="1" x14ac:dyDescent="0.35">
      <c r="A1623" s="229"/>
      <c r="B1623" s="224"/>
      <c r="C1623" s="36" t="s">
        <v>548</v>
      </c>
      <c r="D1623" s="36" t="s">
        <v>20</v>
      </c>
      <c r="E1623" s="37">
        <v>1</v>
      </c>
      <c r="F1623" s="34">
        <v>6.7490000000000006</v>
      </c>
      <c r="G1623" s="31">
        <f t="shared" si="26"/>
        <v>6.7490000000000006</v>
      </c>
      <c r="H1623" s="39">
        <f>SUM(G1623:G1625)</f>
        <v>17.964511999999999</v>
      </c>
      <c r="I1623" s="40"/>
      <c r="J1623" s="155">
        <v>0</v>
      </c>
    </row>
    <row r="1624" spans="1:10" ht="15" hidden="1" thickBot="1" x14ac:dyDescent="0.35">
      <c r="A1624" s="229"/>
      <c r="B1624" s="224"/>
      <c r="C1624" s="36" t="s">
        <v>74</v>
      </c>
      <c r="D1624" s="36" t="s">
        <v>12</v>
      </c>
      <c r="E1624" s="37">
        <v>0.308</v>
      </c>
      <c r="F1624" s="31">
        <v>15.928999999999998</v>
      </c>
      <c r="G1624" s="34">
        <f t="shared" si="26"/>
        <v>4.9061319999999995</v>
      </c>
      <c r="H1624" s="35"/>
      <c r="I1624" s="31"/>
      <c r="J1624" s="155">
        <v>0</v>
      </c>
    </row>
    <row r="1625" spans="1:10" ht="15" hidden="1" thickBot="1" x14ac:dyDescent="0.35">
      <c r="A1625" s="229"/>
      <c r="B1625" s="224"/>
      <c r="C1625" s="36" t="s">
        <v>30</v>
      </c>
      <c r="D1625" s="36" t="s">
        <v>12</v>
      </c>
      <c r="E1625" s="37">
        <v>0.308</v>
      </c>
      <c r="F1625" s="31">
        <v>20.484999999999999</v>
      </c>
      <c r="G1625" s="34">
        <f t="shared" si="26"/>
        <v>6.30938</v>
      </c>
      <c r="H1625" s="35"/>
      <c r="I1625" s="31"/>
      <c r="J1625" s="155">
        <v>0</v>
      </c>
    </row>
    <row r="1626" spans="1:10" ht="15" hidden="1" thickBot="1" x14ac:dyDescent="0.35">
      <c r="A1626" s="230"/>
      <c r="B1626" s="225"/>
      <c r="C1626" s="36"/>
      <c r="D1626" s="36"/>
      <c r="E1626" s="37"/>
      <c r="F1626" s="31" t="s">
        <v>560</v>
      </c>
      <c r="G1626" s="31" t="str">
        <f t="shared" si="26"/>
        <v/>
      </c>
      <c r="H1626" s="35"/>
      <c r="I1626" s="31"/>
      <c r="J1626" s="155">
        <v>0</v>
      </c>
    </row>
    <row r="1627" spans="1:10" ht="15" hidden="1" thickBot="1" x14ac:dyDescent="0.35">
      <c r="A1627" s="226" t="s">
        <v>549</v>
      </c>
      <c r="B1627" s="223" t="e">
        <f>INDEX(#REF!,MATCH(Composições!A1627,#REF!,0),2)</f>
        <v>#REF!</v>
      </c>
      <c r="C1627" s="41"/>
      <c r="D1627" s="26" t="e">
        <f>TRIM(INDEX(#REF!,MATCH(Composições!A1627,#REF!,0),1))</f>
        <v>#REF!</v>
      </c>
      <c r="E1627" s="27"/>
      <c r="F1627" s="42" t="s">
        <v>560</v>
      </c>
      <c r="G1627" s="28" t="str">
        <f t="shared" si="26"/>
        <v/>
      </c>
      <c r="H1627" s="29"/>
      <c r="I1627" s="30"/>
      <c r="J1627" s="155">
        <v>0</v>
      </c>
    </row>
    <row r="1628" spans="1:10" ht="15" hidden="1" thickBot="1" x14ac:dyDescent="0.35">
      <c r="A1628" s="229"/>
      <c r="B1628" s="224"/>
      <c r="C1628" s="32"/>
      <c r="D1628" s="32"/>
      <c r="E1628" s="33"/>
      <c r="F1628" s="43" t="s">
        <v>560</v>
      </c>
      <c r="G1628" s="31" t="str">
        <f t="shared" si="26"/>
        <v/>
      </c>
      <c r="H1628" s="35"/>
      <c r="I1628" s="31"/>
      <c r="J1628" s="155">
        <v>0</v>
      </c>
    </row>
    <row r="1629" spans="1:10" ht="15" hidden="1" thickBot="1" x14ac:dyDescent="0.35">
      <c r="A1629" s="229"/>
      <c r="B1629" s="224"/>
      <c r="C1629" s="36" t="s">
        <v>550</v>
      </c>
      <c r="D1629" s="36" t="s">
        <v>20</v>
      </c>
      <c r="E1629" s="37">
        <v>1</v>
      </c>
      <c r="F1629" s="34">
        <v>5.1764999999999999</v>
      </c>
      <c r="G1629" s="31">
        <f t="shared" si="26"/>
        <v>5.1764999999999999</v>
      </c>
      <c r="H1629" s="39">
        <f>SUM(G1629:G1631)</f>
        <v>13.36965</v>
      </c>
      <c r="I1629" s="40"/>
      <c r="J1629" s="155">
        <v>0</v>
      </c>
    </row>
    <row r="1630" spans="1:10" ht="15" hidden="1" thickBot="1" x14ac:dyDescent="0.35">
      <c r="A1630" s="229"/>
      <c r="B1630" s="224"/>
      <c r="C1630" s="36" t="s">
        <v>74</v>
      </c>
      <c r="D1630" s="36" t="s">
        <v>12</v>
      </c>
      <c r="E1630" s="37">
        <v>0.22500000000000001</v>
      </c>
      <c r="F1630" s="31">
        <v>15.928999999999998</v>
      </c>
      <c r="G1630" s="34">
        <f t="shared" si="26"/>
        <v>3.5840249999999996</v>
      </c>
      <c r="H1630" s="35"/>
      <c r="I1630" s="31"/>
      <c r="J1630" s="155">
        <v>0</v>
      </c>
    </row>
    <row r="1631" spans="1:10" ht="15" hidden="1" thickBot="1" x14ac:dyDescent="0.35">
      <c r="A1631" s="229"/>
      <c r="B1631" s="224"/>
      <c r="C1631" s="36" t="s">
        <v>30</v>
      </c>
      <c r="D1631" s="36" t="s">
        <v>12</v>
      </c>
      <c r="E1631" s="37">
        <v>0.22500000000000001</v>
      </c>
      <c r="F1631" s="31">
        <v>20.484999999999999</v>
      </c>
      <c r="G1631" s="34">
        <f t="shared" si="26"/>
        <v>4.6091249999999997</v>
      </c>
      <c r="H1631" s="35"/>
      <c r="I1631" s="31"/>
      <c r="J1631" s="155">
        <v>0</v>
      </c>
    </row>
    <row r="1632" spans="1:10" ht="15" hidden="1" thickBot="1" x14ac:dyDescent="0.35">
      <c r="A1632" s="230"/>
      <c r="B1632" s="225"/>
      <c r="C1632" s="36"/>
      <c r="D1632" s="36"/>
      <c r="E1632" s="37"/>
      <c r="F1632" s="31" t="s">
        <v>560</v>
      </c>
      <c r="G1632" s="31" t="str">
        <f t="shared" si="26"/>
        <v/>
      </c>
      <c r="H1632" s="35"/>
      <c r="I1632" s="31"/>
      <c r="J1632" s="155">
        <v>0</v>
      </c>
    </row>
    <row r="1633" spans="1:10" ht="15" hidden="1" thickBot="1" x14ac:dyDescent="0.35">
      <c r="A1633" s="226" t="s">
        <v>551</v>
      </c>
      <c r="B1633" s="223" t="e">
        <f>INDEX(#REF!,MATCH(Composições!A1633,#REF!,0),2)</f>
        <v>#REF!</v>
      </c>
      <c r="C1633" s="41"/>
      <c r="D1633" s="26" t="e">
        <f>TRIM(INDEX(#REF!,MATCH(Composições!A1633,#REF!,0),1))</f>
        <v>#REF!</v>
      </c>
      <c r="E1633" s="27"/>
      <c r="F1633" s="42" t="s">
        <v>560</v>
      </c>
      <c r="G1633" s="28" t="str">
        <f t="shared" si="26"/>
        <v/>
      </c>
      <c r="H1633" s="29"/>
      <c r="I1633" s="30"/>
      <c r="J1633" s="155">
        <v>0</v>
      </c>
    </row>
    <row r="1634" spans="1:10" ht="15" hidden="1" thickBot="1" x14ac:dyDescent="0.35">
      <c r="A1634" s="229"/>
      <c r="B1634" s="224"/>
      <c r="C1634" s="32"/>
      <c r="D1634" s="32"/>
      <c r="E1634" s="33"/>
      <c r="F1634" s="43" t="s">
        <v>560</v>
      </c>
      <c r="G1634" s="31" t="str">
        <f t="shared" si="26"/>
        <v/>
      </c>
      <c r="H1634" s="35"/>
      <c r="I1634" s="31"/>
      <c r="J1634" s="155">
        <v>0</v>
      </c>
    </row>
    <row r="1635" spans="1:10" ht="15" hidden="1" thickBot="1" x14ac:dyDescent="0.35">
      <c r="A1635" s="229"/>
      <c r="B1635" s="224"/>
      <c r="C1635" s="36" t="s">
        <v>30</v>
      </c>
      <c r="D1635" s="36" t="s">
        <v>12</v>
      </c>
      <c r="E1635" s="37">
        <v>0.1</v>
      </c>
      <c r="F1635" s="31">
        <v>20.484999999999999</v>
      </c>
      <c r="G1635" s="34">
        <f t="shared" si="26"/>
        <v>2.0485000000000002</v>
      </c>
      <c r="H1635" s="39">
        <f>SUM(G1635:G1636)</f>
        <v>2.0485000000000002</v>
      </c>
      <c r="I1635" s="40"/>
      <c r="J1635" s="155">
        <v>0</v>
      </c>
    </row>
    <row r="1636" spans="1:10" ht="15" hidden="1" thickBot="1" x14ac:dyDescent="0.35">
      <c r="A1636" s="229"/>
      <c r="B1636" s="224"/>
      <c r="C1636" s="36" t="s">
        <v>552</v>
      </c>
      <c r="D1636" s="36" t="s">
        <v>20</v>
      </c>
      <c r="E1636" s="37">
        <v>1</v>
      </c>
      <c r="F1636" s="34" t="s">
        <v>560</v>
      </c>
      <c r="G1636" s="31" t="str">
        <f t="shared" si="26"/>
        <v/>
      </c>
      <c r="H1636" s="35"/>
      <c r="I1636" s="31"/>
      <c r="J1636" s="155">
        <v>0</v>
      </c>
    </row>
    <row r="1637" spans="1:10" ht="15" hidden="1" thickBot="1" x14ac:dyDescent="0.35">
      <c r="A1637" s="230"/>
      <c r="B1637" s="225"/>
      <c r="C1637" s="36"/>
      <c r="D1637" s="36"/>
      <c r="E1637" s="37"/>
      <c r="F1637" s="31" t="s">
        <v>560</v>
      </c>
      <c r="G1637" s="31" t="str">
        <f t="shared" si="26"/>
        <v/>
      </c>
      <c r="H1637" s="35"/>
      <c r="I1637" s="31"/>
      <c r="J1637" s="155">
        <v>0</v>
      </c>
    </row>
    <row r="1638" spans="1:10" ht="15" hidden="1" thickBot="1" x14ac:dyDescent="0.35">
      <c r="A1638" s="226" t="s">
        <v>553</v>
      </c>
      <c r="B1638" s="223" t="e">
        <f>INDEX(#REF!,MATCH(Composições!A1638,#REF!,0),2)</f>
        <v>#REF!</v>
      </c>
      <c r="C1638" s="41"/>
      <c r="D1638" s="26" t="e">
        <f>TRIM(INDEX(#REF!,MATCH(Composições!A1638,#REF!,0),1))</f>
        <v>#REF!</v>
      </c>
      <c r="E1638" s="27"/>
      <c r="F1638" s="42" t="s">
        <v>560</v>
      </c>
      <c r="G1638" s="28" t="str">
        <f t="shared" si="26"/>
        <v/>
      </c>
      <c r="H1638" s="29"/>
      <c r="I1638" s="30"/>
      <c r="J1638" s="155">
        <v>0</v>
      </c>
    </row>
    <row r="1639" spans="1:10" ht="15" hidden="1" thickBot="1" x14ac:dyDescent="0.35">
      <c r="A1639" s="229"/>
      <c r="B1639" s="224"/>
      <c r="C1639" s="32"/>
      <c r="D1639" s="32"/>
      <c r="E1639" s="33"/>
      <c r="F1639" s="43" t="s">
        <v>560</v>
      </c>
      <c r="G1639" s="31" t="str">
        <f t="shared" si="26"/>
        <v/>
      </c>
      <c r="H1639" s="35"/>
      <c r="I1639" s="31"/>
      <c r="J1639" s="155">
        <v>0</v>
      </c>
    </row>
    <row r="1640" spans="1:10" ht="15" hidden="1" thickBot="1" x14ac:dyDescent="0.35">
      <c r="A1640" s="229"/>
      <c r="B1640" s="224"/>
      <c r="C1640" s="36" t="s">
        <v>30</v>
      </c>
      <c r="D1640" s="36" t="s">
        <v>12</v>
      </c>
      <c r="E1640" s="37">
        <v>0.308</v>
      </c>
      <c r="F1640" s="31">
        <v>20.484999999999999</v>
      </c>
      <c r="G1640" s="34">
        <f t="shared" si="26"/>
        <v>6.30938</v>
      </c>
      <c r="H1640" s="39">
        <f>SUM(G1640:G1642)</f>
        <v>11.215512</v>
      </c>
      <c r="I1640" s="40"/>
      <c r="J1640" s="155">
        <v>0</v>
      </c>
    </row>
    <row r="1641" spans="1:10" ht="15" hidden="1" thickBot="1" x14ac:dyDescent="0.35">
      <c r="A1641" s="229"/>
      <c r="B1641" s="224"/>
      <c r="C1641" s="36" t="s">
        <v>74</v>
      </c>
      <c r="D1641" s="36" t="s">
        <v>12</v>
      </c>
      <c r="E1641" s="37">
        <v>0.308</v>
      </c>
      <c r="F1641" s="31">
        <v>15.928999999999998</v>
      </c>
      <c r="G1641" s="34">
        <f t="shared" si="26"/>
        <v>4.9061319999999995</v>
      </c>
      <c r="H1641" s="45"/>
      <c r="I1641" s="46"/>
      <c r="J1641" s="155">
        <v>0</v>
      </c>
    </row>
    <row r="1642" spans="1:10" ht="15" hidden="1" thickBot="1" x14ac:dyDescent="0.35">
      <c r="A1642" s="229"/>
      <c r="B1642" s="224"/>
      <c r="C1642" s="36" t="s">
        <v>554</v>
      </c>
      <c r="D1642" s="36" t="s">
        <v>20</v>
      </c>
      <c r="E1642" s="37">
        <v>1</v>
      </c>
      <c r="F1642" s="34" t="s">
        <v>560</v>
      </c>
      <c r="G1642" s="31" t="str">
        <f t="shared" si="26"/>
        <v/>
      </c>
      <c r="H1642" s="35"/>
      <c r="I1642" s="31"/>
      <c r="J1642" s="155">
        <v>0</v>
      </c>
    </row>
    <row r="1643" spans="1:10" ht="15" hidden="1" thickBot="1" x14ac:dyDescent="0.35">
      <c r="A1643" s="230"/>
      <c r="B1643" s="225"/>
      <c r="C1643" s="52"/>
      <c r="D1643" s="36"/>
      <c r="E1643" s="37"/>
      <c r="F1643" s="31" t="s">
        <v>560</v>
      </c>
      <c r="G1643" s="31" t="str">
        <f t="shared" si="26"/>
        <v/>
      </c>
      <c r="H1643" s="35"/>
      <c r="I1643" s="31"/>
      <c r="J1643" s="155">
        <v>0</v>
      </c>
    </row>
    <row r="1644" spans="1:10" ht="15" hidden="1" thickBot="1" x14ac:dyDescent="0.35">
      <c r="A1644" s="226" t="s">
        <v>555</v>
      </c>
      <c r="B1644" s="223" t="e">
        <f>INDEX(#REF!,MATCH(Composições!A1644,#REF!,0),2)</f>
        <v>#REF!</v>
      </c>
      <c r="C1644" s="41"/>
      <c r="D1644" s="26" t="e">
        <f>TRIM(INDEX(#REF!,MATCH(Composições!A1644,#REF!,0),1))</f>
        <v>#REF!</v>
      </c>
      <c r="E1644" s="27"/>
      <c r="F1644" s="42" t="s">
        <v>560</v>
      </c>
      <c r="G1644" s="28" t="str">
        <f t="shared" si="26"/>
        <v/>
      </c>
      <c r="H1644" s="29"/>
      <c r="I1644" s="30"/>
      <c r="J1644" s="155">
        <v>0</v>
      </c>
    </row>
    <row r="1645" spans="1:10" ht="15" hidden="1" thickBot="1" x14ac:dyDescent="0.35">
      <c r="A1645" s="229"/>
      <c r="B1645" s="224"/>
      <c r="C1645" s="32"/>
      <c r="D1645" s="32"/>
      <c r="E1645" s="33"/>
      <c r="F1645" s="43" t="s">
        <v>560</v>
      </c>
      <c r="G1645" s="31" t="str">
        <f t="shared" si="26"/>
        <v/>
      </c>
      <c r="H1645" s="35"/>
      <c r="I1645" s="31"/>
      <c r="J1645" s="155">
        <v>0</v>
      </c>
    </row>
    <row r="1646" spans="1:10" ht="15" hidden="1" thickBot="1" x14ac:dyDescent="0.35">
      <c r="A1646" s="229"/>
      <c r="B1646" s="224"/>
      <c r="C1646" s="36" t="s">
        <v>556</v>
      </c>
      <c r="D1646" s="36" t="s">
        <v>20</v>
      </c>
      <c r="E1646" s="37">
        <v>1</v>
      </c>
      <c r="F1646" s="34">
        <v>5.8904999999999994</v>
      </c>
      <c r="G1646" s="31">
        <f t="shared" si="26"/>
        <v>5.8904999999999994</v>
      </c>
      <c r="H1646" s="39">
        <f>SUM(G1646:G1648)</f>
        <v>14.447789999999998</v>
      </c>
      <c r="I1646" s="40"/>
      <c r="J1646" s="155">
        <v>0</v>
      </c>
    </row>
    <row r="1647" spans="1:10" ht="15" hidden="1" thickBot="1" x14ac:dyDescent="0.35">
      <c r="A1647" s="229"/>
      <c r="B1647" s="224"/>
      <c r="C1647" s="36" t="s">
        <v>74</v>
      </c>
      <c r="D1647" s="36" t="s">
        <v>12</v>
      </c>
      <c r="E1647" s="37">
        <v>0.23499999999999999</v>
      </c>
      <c r="F1647" s="31">
        <v>15.928999999999998</v>
      </c>
      <c r="G1647" s="34">
        <f t="shared" si="26"/>
        <v>3.7433149999999995</v>
      </c>
      <c r="H1647" s="35"/>
      <c r="I1647" s="31"/>
      <c r="J1647" s="155">
        <v>0</v>
      </c>
    </row>
    <row r="1648" spans="1:10" ht="15" hidden="1" thickBot="1" x14ac:dyDescent="0.35">
      <c r="A1648" s="229"/>
      <c r="B1648" s="224"/>
      <c r="C1648" s="36" t="s">
        <v>30</v>
      </c>
      <c r="D1648" s="36" t="s">
        <v>12</v>
      </c>
      <c r="E1648" s="37">
        <v>0.23499999999999999</v>
      </c>
      <c r="F1648" s="31">
        <v>20.484999999999999</v>
      </c>
      <c r="G1648" s="34">
        <f t="shared" si="26"/>
        <v>4.8139749999999992</v>
      </c>
      <c r="H1648" s="35"/>
      <c r="I1648" s="31"/>
      <c r="J1648" s="155">
        <v>0</v>
      </c>
    </row>
    <row r="1649" spans="1:10" ht="15" hidden="1" thickBot="1" x14ac:dyDescent="0.35">
      <c r="A1649" s="230"/>
      <c r="B1649" s="225"/>
      <c r="C1649" s="36"/>
      <c r="D1649" s="36"/>
      <c r="E1649" s="37"/>
      <c r="F1649" s="31" t="s">
        <v>560</v>
      </c>
      <c r="G1649" s="31" t="str">
        <f t="shared" si="26"/>
        <v/>
      </c>
      <c r="H1649" s="35"/>
      <c r="I1649" s="31"/>
      <c r="J1649" s="155">
        <v>0</v>
      </c>
    </row>
    <row r="1650" spans="1:10" ht="15" hidden="1" thickBot="1" x14ac:dyDescent="0.35">
      <c r="A1650" s="226" t="s">
        <v>557</v>
      </c>
      <c r="B1650" s="223" t="e">
        <f>INDEX(#REF!,MATCH(Composições!A1650,#REF!,0),2)</f>
        <v>#REF!</v>
      </c>
      <c r="C1650" s="41"/>
      <c r="D1650" s="26" t="e">
        <f>TRIM(INDEX(#REF!,MATCH(Composições!A1650,#REF!,0),1))</f>
        <v>#REF!</v>
      </c>
      <c r="E1650" s="27"/>
      <c r="F1650" s="42" t="s">
        <v>560</v>
      </c>
      <c r="G1650" s="28" t="str">
        <f t="shared" si="26"/>
        <v/>
      </c>
      <c r="H1650" s="29"/>
      <c r="I1650" s="30"/>
      <c r="J1650" s="155">
        <v>0</v>
      </c>
    </row>
    <row r="1651" spans="1:10" ht="15" hidden="1" thickBot="1" x14ac:dyDescent="0.35">
      <c r="A1651" s="229"/>
      <c r="B1651" s="224"/>
      <c r="C1651" s="32"/>
      <c r="D1651" s="32"/>
      <c r="E1651" s="33"/>
      <c r="F1651" s="43" t="s">
        <v>560</v>
      </c>
      <c r="G1651" s="31" t="str">
        <f t="shared" si="26"/>
        <v/>
      </c>
      <c r="H1651" s="35"/>
      <c r="I1651" s="31"/>
      <c r="J1651" s="155">
        <v>0</v>
      </c>
    </row>
    <row r="1652" spans="1:10" ht="15" hidden="1" thickBot="1" x14ac:dyDescent="0.35">
      <c r="A1652" s="229"/>
      <c r="B1652" s="224"/>
      <c r="C1652" s="36" t="s">
        <v>558</v>
      </c>
      <c r="D1652" s="36" t="s">
        <v>20</v>
      </c>
      <c r="E1652" s="37">
        <v>1</v>
      </c>
      <c r="F1652" s="34">
        <v>7.5394999999999994</v>
      </c>
      <c r="G1652" s="31">
        <f t="shared" si="26"/>
        <v>7.5394999999999994</v>
      </c>
      <c r="H1652" s="39">
        <f>SUM(G1652:G1654)</f>
        <v>16.096789999999999</v>
      </c>
      <c r="I1652" s="40"/>
      <c r="J1652" s="155">
        <v>0</v>
      </c>
    </row>
    <row r="1653" spans="1:10" ht="15" hidden="1" thickBot="1" x14ac:dyDescent="0.35">
      <c r="A1653" s="229"/>
      <c r="B1653" s="224"/>
      <c r="C1653" s="36" t="s">
        <v>74</v>
      </c>
      <c r="D1653" s="36" t="s">
        <v>12</v>
      </c>
      <c r="E1653" s="37">
        <v>0.23499999999999999</v>
      </c>
      <c r="F1653" s="31">
        <v>15.928999999999998</v>
      </c>
      <c r="G1653" s="34">
        <f t="shared" si="26"/>
        <v>3.7433149999999995</v>
      </c>
      <c r="H1653" s="35"/>
      <c r="I1653" s="31"/>
      <c r="J1653" s="155">
        <v>0</v>
      </c>
    </row>
    <row r="1654" spans="1:10" ht="15" hidden="1" thickBot="1" x14ac:dyDescent="0.35">
      <c r="A1654" s="229"/>
      <c r="B1654" s="224"/>
      <c r="C1654" s="36" t="s">
        <v>30</v>
      </c>
      <c r="D1654" s="36" t="s">
        <v>12</v>
      </c>
      <c r="E1654" s="37">
        <v>0.23499999999999999</v>
      </c>
      <c r="F1654" s="31">
        <v>20.484999999999999</v>
      </c>
      <c r="G1654" s="34">
        <f t="shared" si="26"/>
        <v>4.8139749999999992</v>
      </c>
      <c r="H1654" s="35"/>
      <c r="I1654" s="31"/>
      <c r="J1654" s="155">
        <v>0</v>
      </c>
    </row>
    <row r="1655" spans="1:10" ht="15" hidden="1" thickBot="1" x14ac:dyDescent="0.35">
      <c r="A1655" s="230"/>
      <c r="B1655" s="225"/>
      <c r="C1655" s="36"/>
      <c r="D1655" s="36"/>
      <c r="E1655" s="37"/>
      <c r="F1655" s="31" t="s">
        <v>560</v>
      </c>
      <c r="G1655" s="31" t="str">
        <f t="shared" si="26"/>
        <v/>
      </c>
      <c r="H1655" s="35"/>
      <c r="I1655" s="31"/>
      <c r="J1655" s="155">
        <v>0</v>
      </c>
    </row>
    <row r="1656" spans="1:10" ht="15" hidden="1" thickBot="1" x14ac:dyDescent="0.35">
      <c r="A1656" s="226" t="s">
        <v>559</v>
      </c>
      <c r="B1656" s="223" t="e">
        <f>INDEX(#REF!,MATCH(Composições!A1656,#REF!,0),2)</f>
        <v>#REF!</v>
      </c>
      <c r="C1656" s="41"/>
      <c r="D1656" s="26" t="e">
        <f>TRIM(INDEX(#REF!,MATCH(Composições!A1656,#REF!,0),1))</f>
        <v>#REF!</v>
      </c>
      <c r="E1656" s="27"/>
      <c r="F1656" s="42" t="s">
        <v>560</v>
      </c>
      <c r="G1656" s="28" t="str">
        <f t="shared" si="26"/>
        <v/>
      </c>
      <c r="H1656" s="29"/>
      <c r="I1656" s="30"/>
      <c r="J1656" s="155">
        <v>0</v>
      </c>
    </row>
    <row r="1657" spans="1:10" ht="15" hidden="1" thickBot="1" x14ac:dyDescent="0.35">
      <c r="A1657" s="229"/>
      <c r="B1657" s="224"/>
      <c r="C1657" s="32"/>
      <c r="D1657" s="32"/>
      <c r="E1657" s="33"/>
      <c r="F1657" s="43" t="s">
        <v>560</v>
      </c>
      <c r="G1657" s="31" t="str">
        <f t="shared" si="26"/>
        <v/>
      </c>
      <c r="H1657" s="35"/>
      <c r="I1657" s="31"/>
      <c r="J1657" s="155">
        <v>0</v>
      </c>
    </row>
    <row r="1658" spans="1:10" ht="15" hidden="1" thickBot="1" x14ac:dyDescent="0.35">
      <c r="A1658" s="229"/>
      <c r="B1658" s="224"/>
      <c r="C1658" s="36" t="s">
        <v>74</v>
      </c>
      <c r="D1658" s="36" t="s">
        <v>12</v>
      </c>
      <c r="E1658" s="37">
        <f>0.35/2</f>
        <v>0.17499999999999999</v>
      </c>
      <c r="F1658" s="31">
        <v>15.928999999999998</v>
      </c>
      <c r="G1658" s="34">
        <f t="shared" si="26"/>
        <v>2.7875749999999995</v>
      </c>
      <c r="H1658" s="39">
        <f>SUM(G1658:G1660)</f>
        <v>6.3724499999999988</v>
      </c>
      <c r="I1658" s="40"/>
      <c r="J1658" s="155">
        <v>0</v>
      </c>
    </row>
    <row r="1659" spans="1:10" ht="15" hidden="1" thickBot="1" x14ac:dyDescent="0.35">
      <c r="A1659" s="229"/>
      <c r="B1659" s="224"/>
      <c r="C1659" s="36" t="s">
        <v>30</v>
      </c>
      <c r="D1659" s="36" t="s">
        <v>12</v>
      </c>
      <c r="E1659" s="37">
        <f>0.35/2</f>
        <v>0.17499999999999999</v>
      </c>
      <c r="F1659" s="31">
        <v>20.484999999999999</v>
      </c>
      <c r="G1659" s="34">
        <f t="shared" si="26"/>
        <v>3.5848749999999998</v>
      </c>
      <c r="H1659" s="63" t="s">
        <v>560</v>
      </c>
      <c r="I1659" s="64"/>
      <c r="J1659" s="155">
        <v>0</v>
      </c>
    </row>
    <row r="1660" spans="1:10" ht="15" hidden="1" thickBot="1" x14ac:dyDescent="0.35">
      <c r="A1660" s="229"/>
      <c r="B1660" s="224"/>
      <c r="C1660" s="36" t="s">
        <v>561</v>
      </c>
      <c r="D1660" s="36" t="s">
        <v>20</v>
      </c>
      <c r="E1660" s="37">
        <v>1</v>
      </c>
      <c r="F1660" s="34" t="s">
        <v>560</v>
      </c>
      <c r="G1660" s="34" t="str">
        <f t="shared" si="26"/>
        <v/>
      </c>
      <c r="H1660" s="35"/>
      <c r="I1660" s="31"/>
      <c r="J1660" s="155">
        <v>0</v>
      </c>
    </row>
    <row r="1661" spans="1:10" ht="15" hidden="1" thickBot="1" x14ac:dyDescent="0.35">
      <c r="A1661" s="230"/>
      <c r="B1661" s="225"/>
      <c r="C1661" s="36"/>
      <c r="D1661" s="36"/>
      <c r="E1661" s="37"/>
      <c r="F1661" s="31" t="s">
        <v>560</v>
      </c>
      <c r="G1661" s="31" t="str">
        <f t="shared" si="26"/>
        <v/>
      </c>
      <c r="H1661" s="35"/>
      <c r="I1661" s="31"/>
      <c r="J1661" s="155">
        <v>0</v>
      </c>
    </row>
    <row r="1662" spans="1:10" ht="15" hidden="1" thickBot="1" x14ac:dyDescent="0.35">
      <c r="A1662" s="226" t="s">
        <v>562</v>
      </c>
      <c r="B1662" s="223" t="e">
        <f>INDEX(#REF!,MATCH(Composições!A1662,#REF!,0),2)</f>
        <v>#REF!</v>
      </c>
      <c r="C1662" s="41"/>
      <c r="D1662" s="26" t="e">
        <f>TRIM(INDEX(#REF!,MATCH(Composições!A1662,#REF!,0),1))</f>
        <v>#REF!</v>
      </c>
      <c r="E1662" s="27"/>
      <c r="F1662" s="42" t="s">
        <v>560</v>
      </c>
      <c r="G1662" s="28" t="str">
        <f t="shared" si="26"/>
        <v/>
      </c>
      <c r="H1662" s="29"/>
      <c r="I1662" s="30"/>
      <c r="J1662" s="155">
        <v>0</v>
      </c>
    </row>
    <row r="1663" spans="1:10" ht="15" hidden="1" thickBot="1" x14ac:dyDescent="0.35">
      <c r="A1663" s="229"/>
      <c r="B1663" s="224"/>
      <c r="C1663" s="32"/>
      <c r="D1663" s="32"/>
      <c r="E1663" s="33"/>
      <c r="F1663" s="43" t="s">
        <v>560</v>
      </c>
      <c r="G1663" s="31" t="str">
        <f t="shared" si="26"/>
        <v/>
      </c>
      <c r="H1663" s="35"/>
      <c r="I1663" s="31"/>
      <c r="J1663" s="155">
        <v>0</v>
      </c>
    </row>
    <row r="1664" spans="1:10" ht="15" hidden="1" thickBot="1" x14ac:dyDescent="0.35">
      <c r="A1664" s="229"/>
      <c r="B1664" s="224"/>
      <c r="C1664" s="36" t="s">
        <v>74</v>
      </c>
      <c r="D1664" s="36" t="s">
        <v>12</v>
      </c>
      <c r="E1664" s="37">
        <v>0.1</v>
      </c>
      <c r="F1664" s="31">
        <v>15.928999999999998</v>
      </c>
      <c r="G1664" s="31">
        <f t="shared" si="26"/>
        <v>1.5929</v>
      </c>
      <c r="H1664" s="39">
        <f>SUM(G1664:G1665)</f>
        <v>1.5929</v>
      </c>
      <c r="I1664" s="40"/>
      <c r="J1664" s="155">
        <v>0</v>
      </c>
    </row>
    <row r="1665" spans="1:10" ht="15" hidden="1" thickBot="1" x14ac:dyDescent="0.35">
      <c r="A1665" s="229"/>
      <c r="B1665" s="224"/>
      <c r="C1665" s="36" t="s">
        <v>563</v>
      </c>
      <c r="D1665" s="36" t="s">
        <v>20</v>
      </c>
      <c r="E1665" s="37">
        <v>1</v>
      </c>
      <c r="F1665" s="34" t="s">
        <v>560</v>
      </c>
      <c r="G1665" s="31" t="str">
        <f t="shared" si="26"/>
        <v/>
      </c>
      <c r="H1665" s="35"/>
      <c r="I1665" s="31"/>
      <c r="J1665" s="155">
        <v>0</v>
      </c>
    </row>
    <row r="1666" spans="1:10" ht="15" hidden="1" thickBot="1" x14ac:dyDescent="0.35">
      <c r="A1666" s="230"/>
      <c r="B1666" s="225"/>
      <c r="C1666" s="36"/>
      <c r="D1666" s="36"/>
      <c r="E1666" s="37"/>
      <c r="F1666" s="31" t="s">
        <v>560</v>
      </c>
      <c r="G1666" s="31" t="str">
        <f t="shared" si="26"/>
        <v/>
      </c>
      <c r="H1666" s="35"/>
      <c r="I1666" s="31"/>
      <c r="J1666" s="155">
        <v>0</v>
      </c>
    </row>
    <row r="1667" spans="1:10" ht="15" hidden="1" thickBot="1" x14ac:dyDescent="0.35">
      <c r="A1667" s="226" t="s">
        <v>564</v>
      </c>
      <c r="B1667" s="223" t="e">
        <f>INDEX(#REF!,MATCH(Composições!A1667,#REF!,0),2)</f>
        <v>#REF!</v>
      </c>
      <c r="C1667" s="41"/>
      <c r="D1667" s="26" t="e">
        <f>TRIM(INDEX(#REF!,MATCH(Composições!A1667,#REF!,0),1))</f>
        <v>#REF!</v>
      </c>
      <c r="E1667" s="27"/>
      <c r="F1667" s="42" t="s">
        <v>560</v>
      </c>
      <c r="G1667" s="28" t="str">
        <f t="shared" si="26"/>
        <v/>
      </c>
      <c r="H1667" s="29"/>
      <c r="I1667" s="30"/>
      <c r="J1667" s="155">
        <v>0</v>
      </c>
    </row>
    <row r="1668" spans="1:10" ht="15" hidden="1" thickBot="1" x14ac:dyDescent="0.35">
      <c r="A1668" s="229"/>
      <c r="B1668" s="224"/>
      <c r="C1668" s="32"/>
      <c r="D1668" s="32"/>
      <c r="E1668" s="33"/>
      <c r="F1668" s="43" t="s">
        <v>560</v>
      </c>
      <c r="G1668" s="31" t="str">
        <f t="shared" si="26"/>
        <v/>
      </c>
      <c r="H1668" s="35"/>
      <c r="I1668" s="31"/>
      <c r="J1668" s="155">
        <v>0</v>
      </c>
    </row>
    <row r="1669" spans="1:10" ht="15" hidden="1" thickBot="1" x14ac:dyDescent="0.35">
      <c r="A1669" s="229"/>
      <c r="B1669" s="224"/>
      <c r="C1669" s="36" t="s">
        <v>74</v>
      </c>
      <c r="D1669" s="36" t="s">
        <v>12</v>
      </c>
      <c r="E1669" s="37">
        <v>0.1</v>
      </c>
      <c r="F1669" s="31">
        <v>15.928999999999998</v>
      </c>
      <c r="G1669" s="31">
        <f t="shared" si="26"/>
        <v>1.5929</v>
      </c>
      <c r="H1669" s="39">
        <f>SUM(G1669:G1670)</f>
        <v>1.5929</v>
      </c>
      <c r="I1669" s="40"/>
      <c r="J1669" s="155">
        <v>0</v>
      </c>
    </row>
    <row r="1670" spans="1:10" ht="15" hidden="1" thickBot="1" x14ac:dyDescent="0.35">
      <c r="A1670" s="229"/>
      <c r="B1670" s="224"/>
      <c r="C1670" s="36" t="s">
        <v>565</v>
      </c>
      <c r="D1670" s="36" t="s">
        <v>20</v>
      </c>
      <c r="E1670" s="37">
        <v>1</v>
      </c>
      <c r="F1670" s="34" t="s">
        <v>560</v>
      </c>
      <c r="G1670" s="31" t="str">
        <f t="shared" si="26"/>
        <v/>
      </c>
      <c r="H1670" s="35"/>
      <c r="I1670" s="31"/>
      <c r="J1670" s="155">
        <v>0</v>
      </c>
    </row>
    <row r="1671" spans="1:10" ht="15" hidden="1" thickBot="1" x14ac:dyDescent="0.35">
      <c r="A1671" s="230"/>
      <c r="B1671" s="225"/>
      <c r="C1671" s="36"/>
      <c r="D1671" s="36"/>
      <c r="E1671" s="37"/>
      <c r="F1671" s="31" t="s">
        <v>560</v>
      </c>
      <c r="G1671" s="31" t="str">
        <f t="shared" si="26"/>
        <v/>
      </c>
      <c r="H1671" s="35"/>
      <c r="I1671" s="31"/>
      <c r="J1671" s="155">
        <v>0</v>
      </c>
    </row>
    <row r="1672" spans="1:10" ht="15" hidden="1" thickBot="1" x14ac:dyDescent="0.35">
      <c r="A1672" s="226" t="s">
        <v>566</v>
      </c>
      <c r="B1672" s="223" t="e">
        <f>INDEX(#REF!,MATCH(Composições!A1672,#REF!,0),2)</f>
        <v>#REF!</v>
      </c>
      <c r="C1672" s="41"/>
      <c r="D1672" s="26" t="e">
        <f>TRIM(INDEX(#REF!,MATCH(Composições!A1672,#REF!,0),1))</f>
        <v>#REF!</v>
      </c>
      <c r="E1672" s="27"/>
      <c r="F1672" s="42" t="s">
        <v>560</v>
      </c>
      <c r="G1672" s="28" t="str">
        <f t="shared" si="26"/>
        <v/>
      </c>
      <c r="H1672" s="29"/>
      <c r="I1672" s="30"/>
      <c r="J1672" s="155">
        <v>0</v>
      </c>
    </row>
    <row r="1673" spans="1:10" ht="15" hidden="1" thickBot="1" x14ac:dyDescent="0.35">
      <c r="A1673" s="229"/>
      <c r="B1673" s="224"/>
      <c r="C1673" s="32"/>
      <c r="D1673" s="32"/>
      <c r="E1673" s="33"/>
      <c r="F1673" s="43" t="s">
        <v>560</v>
      </c>
      <c r="G1673" s="31" t="str">
        <f t="shared" si="26"/>
        <v/>
      </c>
      <c r="H1673" s="35"/>
      <c r="I1673" s="31"/>
      <c r="J1673" s="155">
        <v>0</v>
      </c>
    </row>
    <row r="1674" spans="1:10" ht="15" hidden="1" thickBot="1" x14ac:dyDescent="0.35">
      <c r="A1674" s="229"/>
      <c r="B1674" s="224"/>
      <c r="C1674" s="36" t="s">
        <v>74</v>
      </c>
      <c r="D1674" s="36" t="s">
        <v>12</v>
      </c>
      <c r="E1674" s="37">
        <v>0.15</v>
      </c>
      <c r="F1674" s="31">
        <v>15.928999999999998</v>
      </c>
      <c r="G1674" s="34">
        <f t="shared" si="26"/>
        <v>2.3893499999999999</v>
      </c>
      <c r="H1674" s="39">
        <f>SUM(G1674:G1675)</f>
        <v>2.3893499999999999</v>
      </c>
      <c r="I1674" s="40"/>
      <c r="J1674" s="155">
        <v>0</v>
      </c>
    </row>
    <row r="1675" spans="1:10" ht="27" hidden="1" thickBot="1" x14ac:dyDescent="0.35">
      <c r="A1675" s="229"/>
      <c r="B1675" s="224"/>
      <c r="C1675" s="36" t="s">
        <v>567</v>
      </c>
      <c r="D1675" s="36" t="s">
        <v>20</v>
      </c>
      <c r="E1675" s="37">
        <v>1</v>
      </c>
      <c r="F1675" s="34" t="s">
        <v>560</v>
      </c>
      <c r="G1675" s="31" t="str">
        <f t="shared" si="26"/>
        <v/>
      </c>
      <c r="H1675" s="35"/>
      <c r="I1675" s="31"/>
      <c r="J1675" s="155">
        <v>0</v>
      </c>
    </row>
    <row r="1676" spans="1:10" ht="15" hidden="1" thickBot="1" x14ac:dyDescent="0.35">
      <c r="A1676" s="229"/>
      <c r="B1676" s="224"/>
      <c r="C1676" s="36"/>
      <c r="D1676" s="36"/>
      <c r="E1676" s="37"/>
      <c r="F1676" s="34" t="s">
        <v>560</v>
      </c>
      <c r="G1676" s="31" t="str">
        <f t="shared" si="26"/>
        <v/>
      </c>
      <c r="H1676" s="35"/>
      <c r="I1676" s="31"/>
      <c r="J1676" s="155">
        <v>0</v>
      </c>
    </row>
    <row r="1677" spans="1:10" ht="15" hidden="1" thickBot="1" x14ac:dyDescent="0.35">
      <c r="A1677" s="226" t="s">
        <v>568</v>
      </c>
      <c r="B1677" s="223" t="e">
        <f>INDEX(#REF!,MATCH(Composições!A1677,#REF!,0),2)</f>
        <v>#REF!</v>
      </c>
      <c r="C1677" s="41"/>
      <c r="D1677" s="26" t="e">
        <f>TRIM(INDEX(#REF!,MATCH(Composições!A1677,#REF!,0),1))</f>
        <v>#REF!</v>
      </c>
      <c r="E1677" s="27"/>
      <c r="F1677" s="42" t="s">
        <v>560</v>
      </c>
      <c r="G1677" s="28" t="str">
        <f t="shared" si="26"/>
        <v/>
      </c>
      <c r="H1677" s="29"/>
      <c r="I1677" s="30"/>
      <c r="J1677" s="155">
        <v>0</v>
      </c>
    </row>
    <row r="1678" spans="1:10" ht="15" hidden="1" thickBot="1" x14ac:dyDescent="0.35">
      <c r="A1678" s="229"/>
      <c r="B1678" s="224"/>
      <c r="C1678" s="32"/>
      <c r="D1678" s="32"/>
      <c r="E1678" s="33"/>
      <c r="F1678" s="43" t="s">
        <v>560</v>
      </c>
      <c r="G1678" s="31" t="str">
        <f t="shared" si="26"/>
        <v/>
      </c>
      <c r="H1678" s="35"/>
      <c r="I1678" s="31"/>
      <c r="J1678" s="155">
        <v>0</v>
      </c>
    </row>
    <row r="1679" spans="1:10" ht="15" hidden="1" thickBot="1" x14ac:dyDescent="0.35">
      <c r="A1679" s="229"/>
      <c r="B1679" s="224"/>
      <c r="C1679" s="36" t="s">
        <v>74</v>
      </c>
      <c r="D1679" s="36" t="s">
        <v>12</v>
      </c>
      <c r="E1679" s="37">
        <v>0.15</v>
      </c>
      <c r="F1679" s="31">
        <v>15.928999999999998</v>
      </c>
      <c r="G1679" s="34">
        <f t="shared" si="26"/>
        <v>2.3893499999999999</v>
      </c>
      <c r="H1679" s="39">
        <f>SUM(G1679:G1681)</f>
        <v>5.4620999999999995</v>
      </c>
      <c r="I1679" s="40"/>
      <c r="J1679" s="155">
        <v>0</v>
      </c>
    </row>
    <row r="1680" spans="1:10" ht="15" hidden="1" thickBot="1" x14ac:dyDescent="0.35">
      <c r="A1680" s="229"/>
      <c r="B1680" s="224"/>
      <c r="C1680" s="36" t="s">
        <v>30</v>
      </c>
      <c r="D1680" s="36" t="s">
        <v>12</v>
      </c>
      <c r="E1680" s="37">
        <v>0.15</v>
      </c>
      <c r="F1680" s="31">
        <v>20.484999999999999</v>
      </c>
      <c r="G1680" s="34">
        <f t="shared" si="26"/>
        <v>3.0727499999999996</v>
      </c>
      <c r="H1680" s="62"/>
      <c r="I1680" s="1"/>
      <c r="J1680" s="155">
        <v>0</v>
      </c>
    </row>
    <row r="1681" spans="1:10" ht="27" hidden="1" thickBot="1" x14ac:dyDescent="0.35">
      <c r="A1681" s="229"/>
      <c r="B1681" s="224"/>
      <c r="C1681" s="36" t="s">
        <v>569</v>
      </c>
      <c r="D1681" s="36" t="s">
        <v>20</v>
      </c>
      <c r="E1681" s="37">
        <v>1</v>
      </c>
      <c r="F1681" s="34" t="s">
        <v>560</v>
      </c>
      <c r="G1681" s="31" t="str">
        <f t="shared" si="26"/>
        <v/>
      </c>
      <c r="H1681" s="35"/>
      <c r="I1681" s="31"/>
      <c r="J1681" s="155">
        <v>0</v>
      </c>
    </row>
    <row r="1682" spans="1:10" ht="15" hidden="1" thickBot="1" x14ac:dyDescent="0.35">
      <c r="A1682" s="230"/>
      <c r="B1682" s="225"/>
      <c r="C1682" s="36"/>
      <c r="D1682" s="36"/>
      <c r="E1682" s="37"/>
      <c r="F1682" s="31" t="s">
        <v>560</v>
      </c>
      <c r="G1682" s="31" t="str">
        <f t="shared" ref="G1682:G1745" si="27">IF(ISNUMBER(F1682),E1682*F1682,"")</f>
        <v/>
      </c>
      <c r="H1682" s="35"/>
      <c r="I1682" s="31"/>
      <c r="J1682" s="155">
        <v>0</v>
      </c>
    </row>
    <row r="1683" spans="1:10" ht="15" thickBot="1" x14ac:dyDescent="0.35">
      <c r="A1683" s="226" t="s">
        <v>570</v>
      </c>
      <c r="B1683" s="223" t="str">
        <f>INDEX(Orçamentária!A:B,MATCH(Composições!A1683,Orçamentária!A:A,0),2)</f>
        <v>Tomada para condulete</v>
      </c>
      <c r="C1683" s="41"/>
      <c r="D1683" s="26" t="str">
        <f>TRIM(INDEX(Orçamentária!C:C,MATCH(Composições!A1683,Orçamentária!A:A,0),1))</f>
        <v>un</v>
      </c>
      <c r="E1683" s="27"/>
      <c r="F1683" s="42" t="s">
        <v>560</v>
      </c>
      <c r="G1683" s="28" t="str">
        <f t="shared" si="27"/>
        <v/>
      </c>
      <c r="H1683" s="29"/>
      <c r="I1683" s="30"/>
      <c r="J1683" s="155">
        <v>110</v>
      </c>
    </row>
    <row r="1684" spans="1:10" x14ac:dyDescent="0.3">
      <c r="A1684" s="229"/>
      <c r="B1684" s="224"/>
      <c r="C1684" s="32"/>
      <c r="D1684" s="32"/>
      <c r="E1684" s="33"/>
      <c r="F1684" s="43" t="s">
        <v>560</v>
      </c>
      <c r="G1684" s="31" t="str">
        <f t="shared" si="27"/>
        <v/>
      </c>
      <c r="H1684" s="35"/>
      <c r="I1684" s="31"/>
      <c r="J1684" s="155">
        <v>110</v>
      </c>
    </row>
    <row r="1685" spans="1:10" x14ac:dyDescent="0.3">
      <c r="A1685" s="229"/>
      <c r="B1685" s="224"/>
      <c r="C1685" s="36" t="s">
        <v>30</v>
      </c>
      <c r="D1685" s="36" t="s">
        <v>12</v>
      </c>
      <c r="E1685" s="37">
        <v>0.308</v>
      </c>
      <c r="F1685" s="31">
        <v>20.484999999999999</v>
      </c>
      <c r="G1685" s="34">
        <f t="shared" si="27"/>
        <v>6.30938</v>
      </c>
      <c r="H1685" s="39">
        <f>SUM(G1685:G1688)</f>
        <v>30.185511999999999</v>
      </c>
      <c r="I1685" s="40"/>
      <c r="J1685" s="155">
        <v>110</v>
      </c>
    </row>
    <row r="1686" spans="1:10" x14ac:dyDescent="0.3">
      <c r="A1686" s="229"/>
      <c r="B1686" s="224"/>
      <c r="C1686" s="36" t="s">
        <v>74</v>
      </c>
      <c r="D1686" s="36" t="s">
        <v>12</v>
      </c>
      <c r="E1686" s="37">
        <v>0.308</v>
      </c>
      <c r="F1686" s="31">
        <v>15.928999999999998</v>
      </c>
      <c r="G1686" s="34">
        <f t="shared" si="27"/>
        <v>4.9061319999999995</v>
      </c>
      <c r="H1686" s="35"/>
      <c r="I1686" s="31"/>
      <c r="J1686" s="155">
        <v>110</v>
      </c>
    </row>
    <row r="1687" spans="1:10" ht="26.4" x14ac:dyDescent="0.3">
      <c r="A1687" s="229"/>
      <c r="B1687" s="224"/>
      <c r="C1687" s="36" t="s">
        <v>543</v>
      </c>
      <c r="D1687" s="36" t="s">
        <v>20</v>
      </c>
      <c r="E1687" s="37">
        <v>1</v>
      </c>
      <c r="F1687" s="34">
        <v>4.97</v>
      </c>
      <c r="G1687" s="34">
        <f t="shared" si="27"/>
        <v>4.97</v>
      </c>
      <c r="H1687" s="35"/>
      <c r="I1687" s="31"/>
      <c r="J1687" s="155">
        <v>110</v>
      </c>
    </row>
    <row r="1688" spans="1:10" ht="26.4" x14ac:dyDescent="0.3">
      <c r="A1688" s="229"/>
      <c r="B1688" s="224"/>
      <c r="C1688" s="36" t="s">
        <v>2408</v>
      </c>
      <c r="D1688" s="36" t="s">
        <v>20</v>
      </c>
      <c r="E1688" s="37">
        <v>1</v>
      </c>
      <c r="F1688" s="34">
        <v>14</v>
      </c>
      <c r="G1688" s="31">
        <f t="shared" si="27"/>
        <v>14</v>
      </c>
      <c r="H1688" s="35"/>
      <c r="I1688" s="31"/>
      <c r="J1688" s="155">
        <v>110</v>
      </c>
    </row>
    <row r="1689" spans="1:10" ht="15" thickBot="1" x14ac:dyDescent="0.35">
      <c r="A1689" s="230"/>
      <c r="B1689" s="225"/>
      <c r="C1689" s="36"/>
      <c r="D1689" s="36"/>
      <c r="E1689" s="37"/>
      <c r="F1689" s="31" t="s">
        <v>560</v>
      </c>
      <c r="G1689" s="31" t="str">
        <f t="shared" si="27"/>
        <v/>
      </c>
      <c r="H1689" s="35"/>
      <c r="I1689" s="31"/>
      <c r="J1689" s="155">
        <v>110</v>
      </c>
    </row>
    <row r="1690" spans="1:10" ht="15" hidden="1" thickBot="1" x14ac:dyDescent="0.35">
      <c r="A1690" s="226" t="s">
        <v>571</v>
      </c>
      <c r="B1690" s="223" t="e">
        <f>INDEX(#REF!,MATCH(Composições!A1690,#REF!,0),2)</f>
        <v>#REF!</v>
      </c>
      <c r="C1690" s="41"/>
      <c r="D1690" s="26" t="e">
        <f>TRIM(INDEX(#REF!,MATCH(Composições!A1690,#REF!,0),1))</f>
        <v>#REF!</v>
      </c>
      <c r="E1690" s="27"/>
      <c r="F1690" s="42" t="s">
        <v>560</v>
      </c>
      <c r="G1690" s="28" t="str">
        <f t="shared" si="27"/>
        <v/>
      </c>
      <c r="H1690" s="29"/>
      <c r="I1690" s="30"/>
      <c r="J1690" s="155">
        <v>0</v>
      </c>
    </row>
    <row r="1691" spans="1:10" ht="15" hidden="1" thickBot="1" x14ac:dyDescent="0.35">
      <c r="A1691" s="229"/>
      <c r="B1691" s="224"/>
      <c r="C1691" s="32"/>
      <c r="D1691" s="32"/>
      <c r="E1691" s="33"/>
      <c r="F1691" s="43" t="s">
        <v>560</v>
      </c>
      <c r="G1691" s="31" t="str">
        <f t="shared" si="27"/>
        <v/>
      </c>
      <c r="H1691" s="35"/>
      <c r="I1691" s="31"/>
      <c r="J1691" s="155">
        <v>0</v>
      </c>
    </row>
    <row r="1692" spans="1:10" ht="15" hidden="1" thickBot="1" x14ac:dyDescent="0.35">
      <c r="A1692" s="229"/>
      <c r="B1692" s="224"/>
      <c r="C1692" s="36" t="s">
        <v>74</v>
      </c>
      <c r="D1692" s="36" t="s">
        <v>12</v>
      </c>
      <c r="E1692" s="37">
        <v>0.65</v>
      </c>
      <c r="F1692" s="31">
        <v>15.928999999999998</v>
      </c>
      <c r="G1692" s="34">
        <f t="shared" si="27"/>
        <v>10.35385</v>
      </c>
      <c r="H1692" s="39">
        <f>SUM(G1692:G1695)</f>
        <v>229.35210000000001</v>
      </c>
      <c r="I1692" s="40"/>
      <c r="J1692" s="155">
        <v>0</v>
      </c>
    </row>
    <row r="1693" spans="1:10" ht="15" hidden="1" thickBot="1" x14ac:dyDescent="0.35">
      <c r="A1693" s="229"/>
      <c r="B1693" s="224"/>
      <c r="C1693" s="36" t="s">
        <v>30</v>
      </c>
      <c r="D1693" s="36" t="s">
        <v>12</v>
      </c>
      <c r="E1693" s="37">
        <v>0.65</v>
      </c>
      <c r="F1693" s="31">
        <v>20.484999999999999</v>
      </c>
      <c r="G1693" s="34">
        <f t="shared" si="27"/>
        <v>13.315250000000001</v>
      </c>
      <c r="H1693" s="35"/>
      <c r="I1693" s="31"/>
      <c r="J1693" s="155">
        <v>0</v>
      </c>
    </row>
    <row r="1694" spans="1:10" ht="15" hidden="1" thickBot="1" x14ac:dyDescent="0.35">
      <c r="A1694" s="229"/>
      <c r="B1694" s="224"/>
      <c r="C1694" s="36" t="s">
        <v>572</v>
      </c>
      <c r="D1694" s="36" t="s">
        <v>20</v>
      </c>
      <c r="E1694" s="37">
        <v>1</v>
      </c>
      <c r="F1694" s="31">
        <v>205.68299999999999</v>
      </c>
      <c r="G1694" s="31">
        <f t="shared" si="27"/>
        <v>205.68299999999999</v>
      </c>
      <c r="H1694" s="35"/>
      <c r="I1694" s="31"/>
      <c r="J1694" s="155">
        <v>0</v>
      </c>
    </row>
    <row r="1695" spans="1:10" ht="15" hidden="1" thickBot="1" x14ac:dyDescent="0.35">
      <c r="A1695" s="229"/>
      <c r="B1695" s="224"/>
      <c r="C1695" s="36" t="s">
        <v>573</v>
      </c>
      <c r="D1695" s="36" t="s">
        <v>20</v>
      </c>
      <c r="E1695" s="37">
        <v>1</v>
      </c>
      <c r="F1695" s="31">
        <v>0</v>
      </c>
      <c r="G1695" s="31">
        <f t="shared" si="27"/>
        <v>0</v>
      </c>
      <c r="H1695" s="35"/>
      <c r="I1695" s="31"/>
      <c r="J1695" s="155">
        <v>0</v>
      </c>
    </row>
    <row r="1696" spans="1:10" ht="15" hidden="1" thickBot="1" x14ac:dyDescent="0.35">
      <c r="A1696" s="230"/>
      <c r="B1696" s="225"/>
      <c r="C1696" s="36"/>
      <c r="D1696" s="36"/>
      <c r="E1696" s="37"/>
      <c r="F1696" s="31" t="s">
        <v>560</v>
      </c>
      <c r="G1696" s="31" t="str">
        <f t="shared" si="27"/>
        <v/>
      </c>
      <c r="H1696" s="35"/>
      <c r="I1696" s="31"/>
      <c r="J1696" s="155">
        <v>0</v>
      </c>
    </row>
    <row r="1697" spans="1:10" ht="15" hidden="1" thickBot="1" x14ac:dyDescent="0.35">
      <c r="A1697" s="226" t="s">
        <v>574</v>
      </c>
      <c r="B1697" s="223" t="e">
        <f>INDEX(#REF!,MATCH(Composições!A1697,#REF!,0),2)</f>
        <v>#REF!</v>
      </c>
      <c r="C1697" s="41"/>
      <c r="D1697" s="26" t="e">
        <f>TRIM(INDEX(#REF!,MATCH(Composições!A1697,#REF!,0),1))</f>
        <v>#REF!</v>
      </c>
      <c r="E1697" s="27"/>
      <c r="F1697" s="42" t="s">
        <v>560</v>
      </c>
      <c r="G1697" s="28" t="str">
        <f t="shared" si="27"/>
        <v/>
      </c>
      <c r="H1697" s="29"/>
      <c r="I1697" s="30"/>
      <c r="J1697" s="155">
        <v>0</v>
      </c>
    </row>
    <row r="1698" spans="1:10" ht="15" hidden="1" thickBot="1" x14ac:dyDescent="0.35">
      <c r="A1698" s="229"/>
      <c r="B1698" s="224"/>
      <c r="C1698" s="32"/>
      <c r="D1698" s="32"/>
      <c r="E1698" s="33"/>
      <c r="F1698" s="43" t="s">
        <v>560</v>
      </c>
      <c r="G1698" s="31" t="str">
        <f t="shared" si="27"/>
        <v/>
      </c>
      <c r="H1698" s="35"/>
      <c r="I1698" s="31"/>
      <c r="J1698" s="155">
        <v>0</v>
      </c>
    </row>
    <row r="1699" spans="1:10" ht="27" hidden="1" thickBot="1" x14ac:dyDescent="0.35">
      <c r="A1699" s="229"/>
      <c r="B1699" s="224"/>
      <c r="C1699" s="36" t="s">
        <v>575</v>
      </c>
      <c r="D1699" s="36" t="s">
        <v>147</v>
      </c>
      <c r="E1699" s="37">
        <v>1</v>
      </c>
      <c r="F1699" s="34" t="s">
        <v>560</v>
      </c>
      <c r="G1699" s="31" t="str">
        <f t="shared" si="27"/>
        <v/>
      </c>
      <c r="H1699" s="39">
        <f>SUM(G1699:G1701)</f>
        <v>4.8685466999999996</v>
      </c>
      <c r="I1699" s="40"/>
      <c r="J1699" s="155">
        <v>0</v>
      </c>
    </row>
    <row r="1700" spans="1:10" ht="15" hidden="1" thickBot="1" x14ac:dyDescent="0.35">
      <c r="A1700" s="229"/>
      <c r="B1700" s="224"/>
      <c r="C1700" s="36" t="s">
        <v>74</v>
      </c>
      <c r="D1700" s="47" t="s">
        <v>12</v>
      </c>
      <c r="E1700" s="37">
        <v>7.4800000000000005E-2</v>
      </c>
      <c r="F1700" s="31">
        <v>15.928999999999998</v>
      </c>
      <c r="G1700" s="31">
        <f t="shared" si="27"/>
        <v>1.1914891999999999</v>
      </c>
      <c r="H1700" s="35"/>
      <c r="I1700" s="31"/>
      <c r="J1700" s="155">
        <v>0</v>
      </c>
    </row>
    <row r="1701" spans="1:10" ht="15" hidden="1" thickBot="1" x14ac:dyDescent="0.35">
      <c r="A1701" s="229"/>
      <c r="B1701" s="224"/>
      <c r="C1701" s="36" t="s">
        <v>30</v>
      </c>
      <c r="D1701" s="36" t="s">
        <v>12</v>
      </c>
      <c r="E1701" s="37">
        <v>0.17949999999999999</v>
      </c>
      <c r="F1701" s="31">
        <v>20.484999999999999</v>
      </c>
      <c r="G1701" s="31">
        <f t="shared" si="27"/>
        <v>3.6770574999999996</v>
      </c>
      <c r="H1701" s="35"/>
      <c r="I1701" s="31"/>
      <c r="J1701" s="155">
        <v>0</v>
      </c>
    </row>
    <row r="1702" spans="1:10" ht="15" hidden="1" thickBot="1" x14ac:dyDescent="0.35">
      <c r="A1702" s="230"/>
      <c r="B1702" s="225"/>
      <c r="C1702" s="36"/>
      <c r="D1702" s="36"/>
      <c r="E1702" s="37"/>
      <c r="F1702" s="31" t="s">
        <v>560</v>
      </c>
      <c r="G1702" s="31" t="str">
        <f t="shared" si="27"/>
        <v/>
      </c>
      <c r="H1702" s="35"/>
      <c r="I1702" s="31"/>
      <c r="J1702" s="155">
        <v>0</v>
      </c>
    </row>
    <row r="1703" spans="1:10" ht="15" hidden="1" thickBot="1" x14ac:dyDescent="0.35">
      <c r="A1703" s="226" t="s">
        <v>576</v>
      </c>
      <c r="B1703" s="223" t="e">
        <f>INDEX(#REF!,MATCH(Composições!A1703,#REF!,0),2)</f>
        <v>#REF!</v>
      </c>
      <c r="C1703" s="41"/>
      <c r="D1703" s="26" t="e">
        <f>TRIM(INDEX(#REF!,MATCH(Composições!A1703,#REF!,0),1))</f>
        <v>#REF!</v>
      </c>
      <c r="E1703" s="27"/>
      <c r="F1703" s="42" t="s">
        <v>560</v>
      </c>
      <c r="G1703" s="28" t="str">
        <f t="shared" si="27"/>
        <v/>
      </c>
      <c r="H1703" s="29"/>
      <c r="I1703" s="30"/>
      <c r="J1703" s="155">
        <v>0</v>
      </c>
    </row>
    <row r="1704" spans="1:10" ht="15" hidden="1" thickBot="1" x14ac:dyDescent="0.35">
      <c r="A1704" s="229"/>
      <c r="B1704" s="224"/>
      <c r="C1704" s="32"/>
      <c r="D1704" s="32"/>
      <c r="E1704" s="33"/>
      <c r="F1704" s="43" t="s">
        <v>560</v>
      </c>
      <c r="G1704" s="31" t="str">
        <f t="shared" si="27"/>
        <v/>
      </c>
      <c r="H1704" s="35"/>
      <c r="I1704" s="31"/>
      <c r="J1704" s="155">
        <v>0</v>
      </c>
    </row>
    <row r="1705" spans="1:10" ht="15" hidden="1" thickBot="1" x14ac:dyDescent="0.35">
      <c r="A1705" s="229"/>
      <c r="B1705" s="224"/>
      <c r="C1705" s="36" t="s">
        <v>74</v>
      </c>
      <c r="D1705" s="47" t="s">
        <v>12</v>
      </c>
      <c r="E1705" s="37">
        <v>0.14799999999999999</v>
      </c>
      <c r="F1705" s="31">
        <v>15.928999999999998</v>
      </c>
      <c r="G1705" s="31">
        <f t="shared" si="27"/>
        <v>2.3574919999999997</v>
      </c>
      <c r="H1705" s="39">
        <f>SUM(G1705:G1709)</f>
        <v>9.6317155000000003</v>
      </c>
      <c r="I1705" s="40"/>
      <c r="J1705" s="155">
        <v>0</v>
      </c>
    </row>
    <row r="1706" spans="1:10" ht="15" hidden="1" thickBot="1" x14ac:dyDescent="0.35">
      <c r="A1706" s="229"/>
      <c r="B1706" s="224"/>
      <c r="C1706" s="36" t="s">
        <v>30</v>
      </c>
      <c r="D1706" s="36" t="s">
        <v>12</v>
      </c>
      <c r="E1706" s="37">
        <v>0.35510000000000003</v>
      </c>
      <c r="F1706" s="31">
        <v>20.484999999999999</v>
      </c>
      <c r="G1706" s="31">
        <f t="shared" si="27"/>
        <v>7.2742235000000006</v>
      </c>
      <c r="H1706" s="45"/>
      <c r="I1706" s="46"/>
      <c r="J1706" s="155">
        <v>0</v>
      </c>
    </row>
    <row r="1707" spans="1:10" ht="27" hidden="1" thickBot="1" x14ac:dyDescent="0.35">
      <c r="A1707" s="229"/>
      <c r="B1707" s="224"/>
      <c r="C1707" s="36" t="s">
        <v>577</v>
      </c>
      <c r="D1707" s="36" t="s">
        <v>93</v>
      </c>
      <c r="E1707" s="37">
        <v>1.5</v>
      </c>
      <c r="F1707" s="34" t="s">
        <v>560</v>
      </c>
      <c r="G1707" s="31" t="str">
        <f t="shared" si="27"/>
        <v/>
      </c>
      <c r="H1707" s="35"/>
      <c r="I1707" s="31"/>
      <c r="J1707" s="155">
        <v>0</v>
      </c>
    </row>
    <row r="1708" spans="1:10" ht="15" hidden="1" thickBot="1" x14ac:dyDescent="0.35">
      <c r="A1708" s="229"/>
      <c r="B1708" s="224"/>
      <c r="C1708" s="36" t="s">
        <v>578</v>
      </c>
      <c r="D1708" s="36" t="s">
        <v>147</v>
      </c>
      <c r="E1708" s="37">
        <v>1</v>
      </c>
      <c r="F1708" s="34" t="s">
        <v>560</v>
      </c>
      <c r="G1708" s="31" t="str">
        <f t="shared" si="27"/>
        <v/>
      </c>
      <c r="H1708" s="35"/>
      <c r="I1708" s="31"/>
      <c r="J1708" s="155">
        <v>0</v>
      </c>
    </row>
    <row r="1709" spans="1:10" ht="15" hidden="1" thickBot="1" x14ac:dyDescent="0.35">
      <c r="A1709" s="229"/>
      <c r="B1709" s="224"/>
      <c r="C1709" s="36" t="s">
        <v>579</v>
      </c>
      <c r="D1709" s="36" t="s">
        <v>147</v>
      </c>
      <c r="E1709" s="37">
        <v>1</v>
      </c>
      <c r="F1709" s="34" t="s">
        <v>560</v>
      </c>
      <c r="G1709" s="31" t="str">
        <f t="shared" si="27"/>
        <v/>
      </c>
      <c r="H1709" s="35"/>
      <c r="I1709" s="31"/>
      <c r="J1709" s="155">
        <v>0</v>
      </c>
    </row>
    <row r="1710" spans="1:10" ht="15" hidden="1" thickBot="1" x14ac:dyDescent="0.35">
      <c r="A1710" s="230"/>
      <c r="B1710" s="225"/>
      <c r="C1710" s="36"/>
      <c r="D1710" s="36"/>
      <c r="E1710" s="37"/>
      <c r="F1710" s="31" t="s">
        <v>560</v>
      </c>
      <c r="G1710" s="31" t="str">
        <f t="shared" si="27"/>
        <v/>
      </c>
      <c r="H1710" s="35"/>
      <c r="I1710" s="31"/>
      <c r="J1710" s="155">
        <v>0</v>
      </c>
    </row>
    <row r="1711" spans="1:10" ht="15" hidden="1" thickBot="1" x14ac:dyDescent="0.35">
      <c r="A1711" s="226" t="s">
        <v>580</v>
      </c>
      <c r="B1711" s="223" t="e">
        <f>INDEX(#REF!,MATCH(Composições!A1711,#REF!,0),2)</f>
        <v>#REF!</v>
      </c>
      <c r="C1711" s="41"/>
      <c r="D1711" s="26" t="e">
        <f>TRIM(INDEX(#REF!,MATCH(Composições!A1711,#REF!,0),1))</f>
        <v>#REF!</v>
      </c>
      <c r="E1711" s="27"/>
      <c r="F1711" s="42" t="s">
        <v>560</v>
      </c>
      <c r="G1711" s="28" t="str">
        <f t="shared" si="27"/>
        <v/>
      </c>
      <c r="H1711" s="29"/>
      <c r="I1711" s="30"/>
      <c r="J1711" s="155">
        <v>0</v>
      </c>
    </row>
    <row r="1712" spans="1:10" ht="15" hidden="1" thickBot="1" x14ac:dyDescent="0.35">
      <c r="A1712" s="229"/>
      <c r="B1712" s="224"/>
      <c r="C1712" s="32"/>
      <c r="D1712" s="32"/>
      <c r="E1712" s="33"/>
      <c r="F1712" s="43" t="s">
        <v>560</v>
      </c>
      <c r="G1712" s="31" t="str">
        <f t="shared" si="27"/>
        <v/>
      </c>
      <c r="H1712" s="35"/>
      <c r="I1712" s="31"/>
      <c r="J1712" s="155">
        <v>0</v>
      </c>
    </row>
    <row r="1713" spans="1:10" ht="27" hidden="1" thickBot="1" x14ac:dyDescent="0.35">
      <c r="A1713" s="229"/>
      <c r="B1713" s="224"/>
      <c r="C1713" s="36" t="s">
        <v>581</v>
      </c>
      <c r="D1713" s="36" t="s">
        <v>147</v>
      </c>
      <c r="E1713" s="37">
        <v>1</v>
      </c>
      <c r="F1713" s="34" t="s">
        <v>560</v>
      </c>
      <c r="G1713" s="34" t="str">
        <f t="shared" si="27"/>
        <v/>
      </c>
      <c r="H1713" s="39">
        <f>SUM(G1713:G1720)</f>
        <v>9.6317155000000003</v>
      </c>
      <c r="I1713" s="40"/>
      <c r="J1713" s="155">
        <v>0</v>
      </c>
    </row>
    <row r="1714" spans="1:10" ht="27" hidden="1" thickBot="1" x14ac:dyDescent="0.35">
      <c r="A1714" s="229"/>
      <c r="B1714" s="224"/>
      <c r="C1714" s="36" t="s">
        <v>2402</v>
      </c>
      <c r="D1714" s="36" t="s">
        <v>147</v>
      </c>
      <c r="E1714" s="37">
        <v>1</v>
      </c>
      <c r="F1714" s="34" t="s">
        <v>560</v>
      </c>
      <c r="G1714" s="34" t="str">
        <f t="shared" si="27"/>
        <v/>
      </c>
      <c r="H1714" s="45"/>
      <c r="I1714" s="46"/>
      <c r="J1714" s="155">
        <v>0</v>
      </c>
    </row>
    <row r="1715" spans="1:10" ht="27" hidden="1" thickBot="1" x14ac:dyDescent="0.35">
      <c r="A1715" s="229"/>
      <c r="B1715" s="224"/>
      <c r="C1715" s="36" t="s">
        <v>582</v>
      </c>
      <c r="D1715" s="36" t="s">
        <v>147</v>
      </c>
      <c r="E1715" s="37">
        <v>2</v>
      </c>
      <c r="F1715" s="34" t="s">
        <v>560</v>
      </c>
      <c r="G1715" s="34" t="str">
        <f t="shared" si="27"/>
        <v/>
      </c>
      <c r="H1715" s="45"/>
      <c r="I1715" s="46"/>
      <c r="J1715" s="155">
        <v>0</v>
      </c>
    </row>
    <row r="1716" spans="1:10" ht="27" hidden="1" thickBot="1" x14ac:dyDescent="0.35">
      <c r="A1716" s="229"/>
      <c r="B1716" s="224"/>
      <c r="C1716" s="36" t="s">
        <v>577</v>
      </c>
      <c r="D1716" s="36" t="s">
        <v>93</v>
      </c>
      <c r="E1716" s="37">
        <v>1.5</v>
      </c>
      <c r="F1716" s="34" t="s">
        <v>560</v>
      </c>
      <c r="G1716" s="31" t="str">
        <f t="shared" si="27"/>
        <v/>
      </c>
      <c r="H1716" s="35"/>
      <c r="I1716" s="31"/>
      <c r="J1716" s="155">
        <v>0</v>
      </c>
    </row>
    <row r="1717" spans="1:10" ht="15" hidden="1" thickBot="1" x14ac:dyDescent="0.35">
      <c r="A1717" s="229"/>
      <c r="B1717" s="224"/>
      <c r="C1717" s="36" t="s">
        <v>578</v>
      </c>
      <c r="D1717" s="36" t="s">
        <v>147</v>
      </c>
      <c r="E1717" s="37">
        <v>1</v>
      </c>
      <c r="F1717" s="34" t="s">
        <v>560</v>
      </c>
      <c r="G1717" s="31" t="str">
        <f t="shared" si="27"/>
        <v/>
      </c>
      <c r="H1717" s="35"/>
      <c r="I1717" s="31"/>
      <c r="J1717" s="155">
        <v>0</v>
      </c>
    </row>
    <row r="1718" spans="1:10" ht="15" hidden="1" thickBot="1" x14ac:dyDescent="0.35">
      <c r="A1718" s="229"/>
      <c r="B1718" s="224"/>
      <c r="C1718" s="36" t="s">
        <v>579</v>
      </c>
      <c r="D1718" s="36" t="s">
        <v>147</v>
      </c>
      <c r="E1718" s="37">
        <v>1</v>
      </c>
      <c r="F1718" s="34" t="s">
        <v>560</v>
      </c>
      <c r="G1718" s="31" t="str">
        <f t="shared" si="27"/>
        <v/>
      </c>
      <c r="H1718" s="35"/>
      <c r="I1718" s="31"/>
      <c r="J1718" s="155">
        <v>0</v>
      </c>
    </row>
    <row r="1719" spans="1:10" ht="15" hidden="1" thickBot="1" x14ac:dyDescent="0.35">
      <c r="A1719" s="229"/>
      <c r="B1719" s="224"/>
      <c r="C1719" s="36" t="s">
        <v>74</v>
      </c>
      <c r="D1719" s="36" t="s">
        <v>12</v>
      </c>
      <c r="E1719" s="37">
        <v>0.14799999999999999</v>
      </c>
      <c r="F1719" s="31">
        <v>15.928999999999998</v>
      </c>
      <c r="G1719" s="34">
        <f t="shared" si="27"/>
        <v>2.3574919999999997</v>
      </c>
      <c r="H1719" s="35"/>
      <c r="I1719" s="31"/>
      <c r="J1719" s="155">
        <v>0</v>
      </c>
    </row>
    <row r="1720" spans="1:10" ht="15" hidden="1" thickBot="1" x14ac:dyDescent="0.35">
      <c r="A1720" s="229"/>
      <c r="B1720" s="224"/>
      <c r="C1720" s="36" t="s">
        <v>30</v>
      </c>
      <c r="D1720" s="36" t="s">
        <v>12</v>
      </c>
      <c r="E1720" s="37">
        <v>0.35510000000000003</v>
      </c>
      <c r="F1720" s="31">
        <v>20.484999999999999</v>
      </c>
      <c r="G1720" s="31">
        <f t="shared" si="27"/>
        <v>7.2742235000000006</v>
      </c>
      <c r="H1720" s="35"/>
      <c r="I1720" s="31"/>
      <c r="J1720" s="155">
        <v>0</v>
      </c>
    </row>
    <row r="1721" spans="1:10" ht="15" hidden="1" thickBot="1" x14ac:dyDescent="0.35">
      <c r="A1721" s="230"/>
      <c r="B1721" s="225"/>
      <c r="C1721" s="36"/>
      <c r="D1721" s="36"/>
      <c r="E1721" s="37"/>
      <c r="F1721" s="31" t="s">
        <v>560</v>
      </c>
      <c r="G1721" s="31" t="str">
        <f t="shared" si="27"/>
        <v/>
      </c>
      <c r="H1721" s="35"/>
      <c r="I1721" s="31"/>
      <c r="J1721" s="155">
        <v>0</v>
      </c>
    </row>
    <row r="1722" spans="1:10" ht="15" hidden="1" thickBot="1" x14ac:dyDescent="0.35">
      <c r="A1722" s="226" t="s">
        <v>583</v>
      </c>
      <c r="B1722" s="223" t="e">
        <f>INDEX(#REF!,MATCH(Composições!A1722,#REF!,0),2)</f>
        <v>#REF!</v>
      </c>
      <c r="C1722" s="41"/>
      <c r="D1722" s="26" t="e">
        <f>TRIM(INDEX(#REF!,MATCH(Composições!A1722,#REF!,0),1))</f>
        <v>#REF!</v>
      </c>
      <c r="E1722" s="27"/>
      <c r="F1722" s="42" t="s">
        <v>560</v>
      </c>
      <c r="G1722" s="28" t="str">
        <f t="shared" si="27"/>
        <v/>
      </c>
      <c r="H1722" s="29"/>
      <c r="I1722" s="30"/>
      <c r="J1722" s="155">
        <v>0</v>
      </c>
    </row>
    <row r="1723" spans="1:10" ht="15" hidden="1" thickBot="1" x14ac:dyDescent="0.35">
      <c r="A1723" s="229"/>
      <c r="B1723" s="224"/>
      <c r="C1723" s="32"/>
      <c r="D1723" s="32"/>
      <c r="E1723" s="33"/>
      <c r="F1723" s="43" t="s">
        <v>560</v>
      </c>
      <c r="G1723" s="31" t="str">
        <f t="shared" si="27"/>
        <v/>
      </c>
      <c r="H1723" s="35"/>
      <c r="I1723" s="31"/>
      <c r="J1723" s="155">
        <v>0</v>
      </c>
    </row>
    <row r="1724" spans="1:10" ht="27" hidden="1" thickBot="1" x14ac:dyDescent="0.35">
      <c r="A1724" s="229"/>
      <c r="B1724" s="224"/>
      <c r="C1724" s="36" t="s">
        <v>584</v>
      </c>
      <c r="D1724" s="36" t="s">
        <v>147</v>
      </c>
      <c r="E1724" s="37">
        <v>1</v>
      </c>
      <c r="F1724" s="34" t="s">
        <v>560</v>
      </c>
      <c r="G1724" s="34" t="str">
        <f t="shared" si="27"/>
        <v/>
      </c>
      <c r="H1724" s="39">
        <f>SUM(G1724:G1731)</f>
        <v>11.2399223</v>
      </c>
      <c r="I1724" s="40"/>
      <c r="J1724" s="155">
        <v>0</v>
      </c>
    </row>
    <row r="1725" spans="1:10" ht="27" hidden="1" thickBot="1" x14ac:dyDescent="0.35">
      <c r="A1725" s="229"/>
      <c r="B1725" s="224"/>
      <c r="C1725" s="36" t="s">
        <v>2402</v>
      </c>
      <c r="D1725" s="36" t="s">
        <v>147</v>
      </c>
      <c r="E1725" s="37">
        <v>1</v>
      </c>
      <c r="F1725" s="34" t="s">
        <v>560</v>
      </c>
      <c r="G1725" s="34" t="str">
        <f t="shared" si="27"/>
        <v/>
      </c>
      <c r="H1725" s="45"/>
      <c r="I1725" s="46"/>
      <c r="J1725" s="155">
        <v>0</v>
      </c>
    </row>
    <row r="1726" spans="1:10" ht="27" hidden="1" thickBot="1" x14ac:dyDescent="0.35">
      <c r="A1726" s="229"/>
      <c r="B1726" s="224"/>
      <c r="C1726" s="36" t="s">
        <v>582</v>
      </c>
      <c r="D1726" s="36" t="s">
        <v>147</v>
      </c>
      <c r="E1726" s="37">
        <v>2</v>
      </c>
      <c r="F1726" s="34" t="s">
        <v>560</v>
      </c>
      <c r="G1726" s="34" t="str">
        <f t="shared" si="27"/>
        <v/>
      </c>
      <c r="H1726" s="45"/>
      <c r="I1726" s="46"/>
      <c r="J1726" s="155">
        <v>0</v>
      </c>
    </row>
    <row r="1727" spans="1:10" ht="27" hidden="1" thickBot="1" x14ac:dyDescent="0.35">
      <c r="A1727" s="229"/>
      <c r="B1727" s="224"/>
      <c r="C1727" s="36" t="s">
        <v>577</v>
      </c>
      <c r="D1727" s="36" t="s">
        <v>93</v>
      </c>
      <c r="E1727" s="37">
        <v>1.5</v>
      </c>
      <c r="F1727" s="34" t="s">
        <v>560</v>
      </c>
      <c r="G1727" s="31" t="str">
        <f t="shared" si="27"/>
        <v/>
      </c>
      <c r="H1727" s="35"/>
      <c r="I1727" s="31"/>
      <c r="J1727" s="155">
        <v>0</v>
      </c>
    </row>
    <row r="1728" spans="1:10" ht="15" hidden="1" thickBot="1" x14ac:dyDescent="0.35">
      <c r="A1728" s="229"/>
      <c r="B1728" s="224"/>
      <c r="C1728" s="36" t="s">
        <v>578</v>
      </c>
      <c r="D1728" s="36" t="s">
        <v>147</v>
      </c>
      <c r="E1728" s="37">
        <v>1</v>
      </c>
      <c r="F1728" s="34" t="s">
        <v>560</v>
      </c>
      <c r="G1728" s="31" t="str">
        <f t="shared" si="27"/>
        <v/>
      </c>
      <c r="H1728" s="35"/>
      <c r="I1728" s="31"/>
      <c r="J1728" s="155">
        <v>0</v>
      </c>
    </row>
    <row r="1729" spans="1:10" ht="15" hidden="1" thickBot="1" x14ac:dyDescent="0.35">
      <c r="A1729" s="229"/>
      <c r="B1729" s="224"/>
      <c r="C1729" s="36" t="s">
        <v>579</v>
      </c>
      <c r="D1729" s="36" t="s">
        <v>147</v>
      </c>
      <c r="E1729" s="37">
        <v>1</v>
      </c>
      <c r="F1729" s="34" t="s">
        <v>560</v>
      </c>
      <c r="G1729" s="31" t="str">
        <f t="shared" si="27"/>
        <v/>
      </c>
      <c r="H1729" s="35"/>
      <c r="I1729" s="31"/>
      <c r="J1729" s="155">
        <v>0</v>
      </c>
    </row>
    <row r="1730" spans="1:10" ht="15" hidden="1" thickBot="1" x14ac:dyDescent="0.35">
      <c r="A1730" s="229"/>
      <c r="B1730" s="224"/>
      <c r="C1730" s="36" t="s">
        <v>74</v>
      </c>
      <c r="D1730" s="47" t="s">
        <v>12</v>
      </c>
      <c r="E1730" s="37">
        <v>0.17269999999999999</v>
      </c>
      <c r="F1730" s="31">
        <v>15.928999999999998</v>
      </c>
      <c r="G1730" s="31">
        <f t="shared" si="27"/>
        <v>2.7509382999999996</v>
      </c>
      <c r="H1730" s="35"/>
      <c r="I1730" s="31"/>
      <c r="J1730" s="155">
        <v>0</v>
      </c>
    </row>
    <row r="1731" spans="1:10" ht="15" hidden="1" thickBot="1" x14ac:dyDescent="0.35">
      <c r="A1731" s="229"/>
      <c r="B1731" s="224"/>
      <c r="C1731" s="36" t="s">
        <v>30</v>
      </c>
      <c r="D1731" s="36" t="s">
        <v>12</v>
      </c>
      <c r="E1731" s="37">
        <v>0.41439999999999999</v>
      </c>
      <c r="F1731" s="31">
        <v>20.484999999999999</v>
      </c>
      <c r="G1731" s="31">
        <f t="shared" si="27"/>
        <v>8.4889840000000003</v>
      </c>
      <c r="H1731" s="35"/>
      <c r="I1731" s="31"/>
      <c r="J1731" s="155">
        <v>0</v>
      </c>
    </row>
    <row r="1732" spans="1:10" ht="15" hidden="1" thickBot="1" x14ac:dyDescent="0.35">
      <c r="A1732" s="230"/>
      <c r="B1732" s="225"/>
      <c r="C1732" s="36"/>
      <c r="D1732" s="36"/>
      <c r="E1732" s="37"/>
      <c r="F1732" s="31" t="s">
        <v>560</v>
      </c>
      <c r="G1732" s="31" t="str">
        <f t="shared" si="27"/>
        <v/>
      </c>
      <c r="H1732" s="35"/>
      <c r="I1732" s="31"/>
      <c r="J1732" s="155">
        <v>0</v>
      </c>
    </row>
    <row r="1733" spans="1:10" ht="15" hidden="1" thickBot="1" x14ac:dyDescent="0.35">
      <c r="A1733" s="226" t="s">
        <v>585</v>
      </c>
      <c r="B1733" s="223" t="e">
        <f>INDEX(#REF!,MATCH(Composições!A1733,#REF!,0),2)</f>
        <v>#REF!</v>
      </c>
      <c r="C1733" s="41"/>
      <c r="D1733" s="26" t="e">
        <f>TRIM(INDEX(#REF!,MATCH(Composições!A1733,#REF!,0),1))</f>
        <v>#REF!</v>
      </c>
      <c r="E1733" s="27"/>
      <c r="F1733" s="42" t="s">
        <v>560</v>
      </c>
      <c r="G1733" s="28" t="str">
        <f t="shared" si="27"/>
        <v/>
      </c>
      <c r="H1733" s="29"/>
      <c r="I1733" s="30"/>
      <c r="J1733" s="155">
        <v>0</v>
      </c>
    </row>
    <row r="1734" spans="1:10" ht="15" hidden="1" thickBot="1" x14ac:dyDescent="0.35">
      <c r="A1734" s="229"/>
      <c r="B1734" s="224"/>
      <c r="C1734" s="32"/>
      <c r="D1734" s="32"/>
      <c r="E1734" s="33"/>
      <c r="F1734" s="43" t="s">
        <v>560</v>
      </c>
      <c r="G1734" s="31" t="str">
        <f t="shared" si="27"/>
        <v/>
      </c>
      <c r="H1734" s="35"/>
      <c r="I1734" s="31"/>
      <c r="J1734" s="155">
        <v>0</v>
      </c>
    </row>
    <row r="1735" spans="1:10" ht="27" hidden="1" thickBot="1" x14ac:dyDescent="0.35">
      <c r="A1735" s="229"/>
      <c r="B1735" s="224"/>
      <c r="C1735" s="36" t="s">
        <v>586</v>
      </c>
      <c r="D1735" s="36" t="s">
        <v>147</v>
      </c>
      <c r="E1735" s="37">
        <v>1</v>
      </c>
      <c r="F1735" s="34" t="s">
        <v>560</v>
      </c>
      <c r="G1735" s="31" t="str">
        <f t="shared" si="27"/>
        <v/>
      </c>
      <c r="H1735" s="39">
        <f>SUM(G1735:G1742)</f>
        <v>116.0517155</v>
      </c>
      <c r="I1735" s="40"/>
      <c r="J1735" s="155">
        <v>0</v>
      </c>
    </row>
    <row r="1736" spans="1:10" ht="27" hidden="1" thickBot="1" x14ac:dyDescent="0.35">
      <c r="A1736" s="229"/>
      <c r="B1736" s="224"/>
      <c r="C1736" s="36" t="s">
        <v>2403</v>
      </c>
      <c r="D1736" s="36" t="s">
        <v>147</v>
      </c>
      <c r="E1736" s="37">
        <v>1</v>
      </c>
      <c r="F1736" s="34">
        <v>84.76</v>
      </c>
      <c r="G1736" s="31">
        <f t="shared" si="27"/>
        <v>84.76</v>
      </c>
      <c r="H1736" s="45"/>
      <c r="I1736" s="46"/>
      <c r="J1736" s="155">
        <v>0</v>
      </c>
    </row>
    <row r="1737" spans="1:10" ht="27" hidden="1" thickBot="1" x14ac:dyDescent="0.35">
      <c r="A1737" s="229"/>
      <c r="B1737" s="224"/>
      <c r="C1737" s="36" t="s">
        <v>587</v>
      </c>
      <c r="D1737" s="36" t="s">
        <v>147</v>
      </c>
      <c r="E1737" s="37">
        <v>2</v>
      </c>
      <c r="F1737" s="34">
        <v>10.83</v>
      </c>
      <c r="G1737" s="31">
        <f t="shared" si="27"/>
        <v>21.66</v>
      </c>
      <c r="H1737" s="45"/>
      <c r="I1737" s="46"/>
      <c r="J1737" s="155">
        <v>0</v>
      </c>
    </row>
    <row r="1738" spans="1:10" ht="27" hidden="1" thickBot="1" x14ac:dyDescent="0.35">
      <c r="A1738" s="229"/>
      <c r="B1738" s="224"/>
      <c r="C1738" s="36" t="s">
        <v>577</v>
      </c>
      <c r="D1738" s="36" t="s">
        <v>93</v>
      </c>
      <c r="E1738" s="37">
        <v>1.5</v>
      </c>
      <c r="F1738" s="34" t="s">
        <v>560</v>
      </c>
      <c r="G1738" s="31" t="str">
        <f t="shared" si="27"/>
        <v/>
      </c>
      <c r="H1738" s="35"/>
      <c r="I1738" s="31"/>
      <c r="J1738" s="155">
        <v>0</v>
      </c>
    </row>
    <row r="1739" spans="1:10" ht="15" hidden="1" thickBot="1" x14ac:dyDescent="0.35">
      <c r="A1739" s="229"/>
      <c r="B1739" s="224"/>
      <c r="C1739" s="36" t="s">
        <v>578</v>
      </c>
      <c r="D1739" s="36" t="s">
        <v>147</v>
      </c>
      <c r="E1739" s="37">
        <v>1</v>
      </c>
      <c r="F1739" s="34" t="s">
        <v>560</v>
      </c>
      <c r="G1739" s="31" t="str">
        <f t="shared" si="27"/>
        <v/>
      </c>
      <c r="H1739" s="35"/>
      <c r="I1739" s="31"/>
      <c r="J1739" s="155">
        <v>0</v>
      </c>
    </row>
    <row r="1740" spans="1:10" ht="15" hidden="1" thickBot="1" x14ac:dyDescent="0.35">
      <c r="A1740" s="229"/>
      <c r="B1740" s="224"/>
      <c r="C1740" s="36" t="s">
        <v>579</v>
      </c>
      <c r="D1740" s="36" t="s">
        <v>147</v>
      </c>
      <c r="E1740" s="37">
        <v>1</v>
      </c>
      <c r="F1740" s="34" t="s">
        <v>560</v>
      </c>
      <c r="G1740" s="31" t="str">
        <f t="shared" si="27"/>
        <v/>
      </c>
      <c r="H1740" s="35"/>
      <c r="I1740" s="31"/>
      <c r="J1740" s="155">
        <v>0</v>
      </c>
    </row>
    <row r="1741" spans="1:10" ht="15" hidden="1" thickBot="1" x14ac:dyDescent="0.35">
      <c r="A1741" s="229"/>
      <c r="B1741" s="224"/>
      <c r="C1741" s="36" t="s">
        <v>74</v>
      </c>
      <c r="D1741" s="36" t="s">
        <v>12</v>
      </c>
      <c r="E1741" s="37">
        <v>0.14799999999999999</v>
      </c>
      <c r="F1741" s="31">
        <v>15.928999999999998</v>
      </c>
      <c r="G1741" s="34">
        <f t="shared" si="27"/>
        <v>2.3574919999999997</v>
      </c>
      <c r="H1741" s="35"/>
      <c r="I1741" s="31"/>
      <c r="J1741" s="155">
        <v>0</v>
      </c>
    </row>
    <row r="1742" spans="1:10" ht="15" hidden="1" thickBot="1" x14ac:dyDescent="0.35">
      <c r="A1742" s="229"/>
      <c r="B1742" s="224"/>
      <c r="C1742" s="36" t="s">
        <v>30</v>
      </c>
      <c r="D1742" s="36" t="s">
        <v>12</v>
      </c>
      <c r="E1742" s="37">
        <v>0.35510000000000003</v>
      </c>
      <c r="F1742" s="31">
        <v>20.484999999999999</v>
      </c>
      <c r="G1742" s="31">
        <f t="shared" si="27"/>
        <v>7.2742235000000006</v>
      </c>
      <c r="H1742" s="35"/>
      <c r="I1742" s="31"/>
      <c r="J1742" s="155">
        <v>0</v>
      </c>
    </row>
    <row r="1743" spans="1:10" ht="15" hidden="1" thickBot="1" x14ac:dyDescent="0.35">
      <c r="A1743" s="230"/>
      <c r="B1743" s="225"/>
      <c r="C1743" s="36"/>
      <c r="D1743" s="36"/>
      <c r="E1743" s="37"/>
      <c r="F1743" s="31" t="s">
        <v>560</v>
      </c>
      <c r="G1743" s="31" t="str">
        <f t="shared" si="27"/>
        <v/>
      </c>
      <c r="H1743" s="35"/>
      <c r="I1743" s="31"/>
      <c r="J1743" s="155">
        <v>0</v>
      </c>
    </row>
    <row r="1744" spans="1:10" ht="15" hidden="1" thickBot="1" x14ac:dyDescent="0.35">
      <c r="A1744" s="226" t="s">
        <v>588</v>
      </c>
      <c r="B1744" s="223" t="e">
        <f>INDEX(#REF!,MATCH(Composições!A1744,#REF!,0),2)</f>
        <v>#REF!</v>
      </c>
      <c r="C1744" s="41"/>
      <c r="D1744" s="26" t="e">
        <f>TRIM(INDEX(#REF!,MATCH(Composições!A1744,#REF!,0),1))</f>
        <v>#REF!</v>
      </c>
      <c r="E1744" s="27"/>
      <c r="F1744" s="42" t="s">
        <v>560</v>
      </c>
      <c r="G1744" s="28" t="str">
        <f t="shared" si="27"/>
        <v/>
      </c>
      <c r="H1744" s="29"/>
      <c r="I1744" s="30"/>
      <c r="J1744" s="155">
        <v>0</v>
      </c>
    </row>
    <row r="1745" spans="1:10" ht="15" hidden="1" thickBot="1" x14ac:dyDescent="0.35">
      <c r="A1745" s="229"/>
      <c r="B1745" s="224"/>
      <c r="C1745" s="32"/>
      <c r="D1745" s="32"/>
      <c r="E1745" s="33"/>
      <c r="F1745" s="43" t="s">
        <v>560</v>
      </c>
      <c r="G1745" s="31" t="str">
        <f t="shared" si="27"/>
        <v/>
      </c>
      <c r="H1745" s="35"/>
      <c r="I1745" s="31"/>
      <c r="J1745" s="155">
        <v>0</v>
      </c>
    </row>
    <row r="1746" spans="1:10" ht="27" hidden="1" thickBot="1" x14ac:dyDescent="0.35">
      <c r="A1746" s="229"/>
      <c r="B1746" s="224"/>
      <c r="C1746" s="36" t="s">
        <v>589</v>
      </c>
      <c r="D1746" s="36" t="s">
        <v>147</v>
      </c>
      <c r="E1746" s="37">
        <v>1</v>
      </c>
      <c r="F1746" s="34" t="s">
        <v>560</v>
      </c>
      <c r="G1746" s="31" t="str">
        <f t="shared" ref="G1746:G1809" si="28">IF(ISNUMBER(F1746),E1746*F1746,"")</f>
        <v/>
      </c>
      <c r="H1746" s="39">
        <f>SUM(G1746:G1753)</f>
        <v>117.65992230000001</v>
      </c>
      <c r="I1746" s="40"/>
      <c r="J1746" s="155">
        <v>0</v>
      </c>
    </row>
    <row r="1747" spans="1:10" ht="27" hidden="1" thickBot="1" x14ac:dyDescent="0.35">
      <c r="A1747" s="229"/>
      <c r="B1747" s="224"/>
      <c r="C1747" s="36" t="s">
        <v>2403</v>
      </c>
      <c r="D1747" s="36" t="s">
        <v>147</v>
      </c>
      <c r="E1747" s="37">
        <v>1</v>
      </c>
      <c r="F1747" s="34">
        <v>84.76</v>
      </c>
      <c r="G1747" s="31">
        <f t="shared" si="28"/>
        <v>84.76</v>
      </c>
      <c r="H1747" s="45"/>
      <c r="I1747" s="46"/>
      <c r="J1747" s="155">
        <v>0</v>
      </c>
    </row>
    <row r="1748" spans="1:10" ht="27" hidden="1" thickBot="1" x14ac:dyDescent="0.35">
      <c r="A1748" s="229"/>
      <c r="B1748" s="224"/>
      <c r="C1748" s="36" t="s">
        <v>587</v>
      </c>
      <c r="D1748" s="36" t="s">
        <v>147</v>
      </c>
      <c r="E1748" s="37">
        <v>2</v>
      </c>
      <c r="F1748" s="34">
        <v>10.83</v>
      </c>
      <c r="G1748" s="31">
        <f t="shared" si="28"/>
        <v>21.66</v>
      </c>
      <c r="H1748" s="45"/>
      <c r="I1748" s="46"/>
      <c r="J1748" s="155">
        <v>0</v>
      </c>
    </row>
    <row r="1749" spans="1:10" ht="27" hidden="1" thickBot="1" x14ac:dyDescent="0.35">
      <c r="A1749" s="229"/>
      <c r="B1749" s="224"/>
      <c r="C1749" s="36" t="s">
        <v>577</v>
      </c>
      <c r="D1749" s="36" t="s">
        <v>93</v>
      </c>
      <c r="E1749" s="37">
        <v>1.5</v>
      </c>
      <c r="F1749" s="34" t="s">
        <v>560</v>
      </c>
      <c r="G1749" s="31" t="str">
        <f t="shared" si="28"/>
        <v/>
      </c>
      <c r="H1749" s="35"/>
      <c r="I1749" s="31"/>
      <c r="J1749" s="155">
        <v>0</v>
      </c>
    </row>
    <row r="1750" spans="1:10" ht="15" hidden="1" thickBot="1" x14ac:dyDescent="0.35">
      <c r="A1750" s="229"/>
      <c r="B1750" s="224"/>
      <c r="C1750" s="36" t="s">
        <v>578</v>
      </c>
      <c r="D1750" s="36" t="s">
        <v>147</v>
      </c>
      <c r="E1750" s="37">
        <v>1</v>
      </c>
      <c r="F1750" s="34" t="s">
        <v>560</v>
      </c>
      <c r="G1750" s="31" t="str">
        <f t="shared" si="28"/>
        <v/>
      </c>
      <c r="H1750" s="35"/>
      <c r="I1750" s="31"/>
      <c r="J1750" s="155">
        <v>0</v>
      </c>
    </row>
    <row r="1751" spans="1:10" ht="15" hidden="1" thickBot="1" x14ac:dyDescent="0.35">
      <c r="A1751" s="229"/>
      <c r="B1751" s="224"/>
      <c r="C1751" s="36" t="s">
        <v>579</v>
      </c>
      <c r="D1751" s="36" t="s">
        <v>147</v>
      </c>
      <c r="E1751" s="37">
        <v>1</v>
      </c>
      <c r="F1751" s="34" t="s">
        <v>560</v>
      </c>
      <c r="G1751" s="31" t="str">
        <f t="shared" si="28"/>
        <v/>
      </c>
      <c r="H1751" s="35"/>
      <c r="I1751" s="31"/>
      <c r="J1751" s="155">
        <v>0</v>
      </c>
    </row>
    <row r="1752" spans="1:10" ht="15" hidden="1" thickBot="1" x14ac:dyDescent="0.35">
      <c r="A1752" s="229"/>
      <c r="B1752" s="224"/>
      <c r="C1752" s="36" t="s">
        <v>74</v>
      </c>
      <c r="D1752" s="36" t="s">
        <v>12</v>
      </c>
      <c r="E1752" s="37">
        <v>0.17269999999999999</v>
      </c>
      <c r="F1752" s="31">
        <v>15.928999999999998</v>
      </c>
      <c r="G1752" s="31">
        <f t="shared" si="28"/>
        <v>2.7509382999999996</v>
      </c>
      <c r="H1752" s="35"/>
      <c r="I1752" s="31"/>
      <c r="J1752" s="155">
        <v>0</v>
      </c>
    </row>
    <row r="1753" spans="1:10" ht="15" hidden="1" thickBot="1" x14ac:dyDescent="0.35">
      <c r="A1753" s="229"/>
      <c r="B1753" s="224"/>
      <c r="C1753" s="36" t="s">
        <v>30</v>
      </c>
      <c r="D1753" s="36" t="s">
        <v>12</v>
      </c>
      <c r="E1753" s="37">
        <v>0.41439999999999999</v>
      </c>
      <c r="F1753" s="31">
        <v>20.484999999999999</v>
      </c>
      <c r="G1753" s="31">
        <f t="shared" si="28"/>
        <v>8.4889840000000003</v>
      </c>
      <c r="H1753" s="35"/>
      <c r="I1753" s="31"/>
      <c r="J1753" s="155">
        <v>0</v>
      </c>
    </row>
    <row r="1754" spans="1:10" ht="15" hidden="1" thickBot="1" x14ac:dyDescent="0.35">
      <c r="A1754" s="230"/>
      <c r="B1754" s="225"/>
      <c r="C1754" s="36"/>
      <c r="D1754" s="36"/>
      <c r="E1754" s="37"/>
      <c r="F1754" s="31" t="s">
        <v>560</v>
      </c>
      <c r="G1754" s="31" t="str">
        <f t="shared" si="28"/>
        <v/>
      </c>
      <c r="H1754" s="35"/>
      <c r="I1754" s="31"/>
      <c r="J1754" s="155">
        <v>0</v>
      </c>
    </row>
    <row r="1755" spans="1:10" ht="15" hidden="1" thickBot="1" x14ac:dyDescent="0.35">
      <c r="A1755" s="226" t="s">
        <v>590</v>
      </c>
      <c r="B1755" s="223" t="e">
        <f>INDEX(#REF!,MATCH(Composições!A1755,#REF!,0),2)</f>
        <v>#REF!</v>
      </c>
      <c r="C1755" s="41"/>
      <c r="D1755" s="26" t="e">
        <f>TRIM(INDEX(#REF!,MATCH(Composições!A1755,#REF!,0),1))</f>
        <v>#REF!</v>
      </c>
      <c r="E1755" s="27"/>
      <c r="F1755" s="42" t="s">
        <v>560</v>
      </c>
      <c r="G1755" s="28" t="str">
        <f t="shared" si="28"/>
        <v/>
      </c>
      <c r="H1755" s="29"/>
      <c r="I1755" s="30"/>
      <c r="J1755" s="155">
        <v>0</v>
      </c>
    </row>
    <row r="1756" spans="1:10" ht="15" hidden="1" thickBot="1" x14ac:dyDescent="0.35">
      <c r="A1756" s="229"/>
      <c r="B1756" s="224"/>
      <c r="C1756" s="32"/>
      <c r="D1756" s="32"/>
      <c r="E1756" s="33"/>
      <c r="F1756" s="43" t="s">
        <v>560</v>
      </c>
      <c r="G1756" s="31" t="str">
        <f t="shared" si="28"/>
        <v/>
      </c>
      <c r="H1756" s="35"/>
      <c r="I1756" s="31"/>
      <c r="J1756" s="155">
        <v>0</v>
      </c>
    </row>
    <row r="1757" spans="1:10" ht="15" hidden="1" thickBot="1" x14ac:dyDescent="0.35">
      <c r="A1757" s="229"/>
      <c r="B1757" s="224"/>
      <c r="C1757" s="36" t="s">
        <v>74</v>
      </c>
      <c r="D1757" s="36" t="s">
        <v>12</v>
      </c>
      <c r="E1757" s="37">
        <v>8.9999999999999993E-3</v>
      </c>
      <c r="F1757" s="31">
        <v>15.928999999999998</v>
      </c>
      <c r="G1757" s="34">
        <f t="shared" si="28"/>
        <v>0.14336099999999999</v>
      </c>
      <c r="H1757" s="39">
        <f>SUM(G1757:G1760)</f>
        <v>338.06912299999999</v>
      </c>
      <c r="I1757" s="40"/>
      <c r="J1757" s="155">
        <v>0</v>
      </c>
    </row>
    <row r="1758" spans="1:10" ht="15" hidden="1" thickBot="1" x14ac:dyDescent="0.35">
      <c r="A1758" s="229"/>
      <c r="B1758" s="224"/>
      <c r="C1758" s="36" t="s">
        <v>30</v>
      </c>
      <c r="D1758" s="36" t="s">
        <v>12</v>
      </c>
      <c r="E1758" s="37">
        <v>8.9999999999999993E-3</v>
      </c>
      <c r="F1758" s="31">
        <v>20.484999999999999</v>
      </c>
      <c r="G1758" s="34">
        <f t="shared" si="28"/>
        <v>0.18436499999999997</v>
      </c>
      <c r="H1758" s="35"/>
      <c r="I1758" s="31"/>
      <c r="J1758" s="155">
        <v>0</v>
      </c>
    </row>
    <row r="1759" spans="1:10" ht="15" hidden="1" thickBot="1" x14ac:dyDescent="0.35">
      <c r="A1759" s="229"/>
      <c r="B1759" s="224"/>
      <c r="C1759" s="36" t="s">
        <v>591</v>
      </c>
      <c r="D1759" s="36" t="s">
        <v>93</v>
      </c>
      <c r="E1759" s="37">
        <v>1.0269999999999999</v>
      </c>
      <c r="F1759" s="34">
        <v>328.83100000000002</v>
      </c>
      <c r="G1759" s="34">
        <f t="shared" si="28"/>
        <v>337.70943699999998</v>
      </c>
      <c r="H1759" s="35"/>
      <c r="I1759" s="31"/>
      <c r="J1759" s="155">
        <v>0</v>
      </c>
    </row>
    <row r="1760" spans="1:10" ht="15" hidden="1" thickBot="1" x14ac:dyDescent="0.35">
      <c r="A1760" s="229"/>
      <c r="B1760" s="224"/>
      <c r="C1760" s="36" t="s">
        <v>592</v>
      </c>
      <c r="D1760" s="36" t="s">
        <v>20</v>
      </c>
      <c r="E1760" s="37">
        <v>0.01</v>
      </c>
      <c r="F1760" s="34">
        <v>3.1959999999999997</v>
      </c>
      <c r="G1760" s="34">
        <f t="shared" si="28"/>
        <v>3.1959999999999995E-2</v>
      </c>
      <c r="H1760" s="35"/>
      <c r="I1760" s="31"/>
      <c r="J1760" s="155">
        <v>0</v>
      </c>
    </row>
    <row r="1761" spans="1:10" ht="15" hidden="1" thickBot="1" x14ac:dyDescent="0.35">
      <c r="A1761" s="230"/>
      <c r="B1761" s="225"/>
      <c r="C1761" s="36"/>
      <c r="D1761" s="36"/>
      <c r="E1761" s="37"/>
      <c r="F1761" s="31" t="s">
        <v>560</v>
      </c>
      <c r="G1761" s="31" t="str">
        <f t="shared" si="28"/>
        <v/>
      </c>
      <c r="H1761" s="35"/>
      <c r="I1761" s="31"/>
      <c r="J1761" s="155">
        <v>0</v>
      </c>
    </row>
    <row r="1762" spans="1:10" ht="15" thickBot="1" x14ac:dyDescent="0.35">
      <c r="A1762" s="226" t="s">
        <v>593</v>
      </c>
      <c r="B1762" s="223" t="str">
        <f>INDEX(Orçamentária!A:B,MATCH(Composições!A1762,Orçamentária!A:A,0),2)</f>
        <v>Condutor 16 mm²</v>
      </c>
      <c r="C1762" s="41"/>
      <c r="D1762" s="26" t="str">
        <f>TRIM(INDEX(Orçamentária!C:C,MATCH(Composições!A1762,Orçamentária!A:A,0),1))</f>
        <v>m</v>
      </c>
      <c r="E1762" s="27"/>
      <c r="F1762" s="42" t="s">
        <v>560</v>
      </c>
      <c r="G1762" s="28" t="str">
        <f t="shared" si="28"/>
        <v/>
      </c>
      <c r="H1762" s="29"/>
      <c r="I1762" s="30"/>
      <c r="J1762" s="155">
        <v>130</v>
      </c>
    </row>
    <row r="1763" spans="1:10" x14ac:dyDescent="0.3">
      <c r="A1763" s="229"/>
      <c r="B1763" s="224"/>
      <c r="C1763" s="32"/>
      <c r="D1763" s="32"/>
      <c r="E1763" s="33"/>
      <c r="F1763" s="43" t="s">
        <v>560</v>
      </c>
      <c r="G1763" s="31" t="str">
        <f t="shared" si="28"/>
        <v/>
      </c>
      <c r="H1763" s="35"/>
      <c r="I1763" s="31"/>
      <c r="J1763" s="155">
        <v>130</v>
      </c>
    </row>
    <row r="1764" spans="1:10" x14ac:dyDescent="0.3">
      <c r="A1764" s="229"/>
      <c r="B1764" s="224"/>
      <c r="C1764" s="36" t="s">
        <v>74</v>
      </c>
      <c r="D1764" s="36" t="s">
        <v>12</v>
      </c>
      <c r="E1764" s="37">
        <v>1.2999999999999999E-2</v>
      </c>
      <c r="F1764" s="31">
        <v>15.928999999999998</v>
      </c>
      <c r="G1764" s="34">
        <f t="shared" si="28"/>
        <v>0.20707699999999998</v>
      </c>
      <c r="H1764" s="39">
        <f>SUM(G1764:G1767)</f>
        <v>24.5900325</v>
      </c>
      <c r="I1764" s="40"/>
      <c r="J1764" s="155">
        <v>130</v>
      </c>
    </row>
    <row r="1765" spans="1:10" x14ac:dyDescent="0.3">
      <c r="A1765" s="229"/>
      <c r="B1765" s="224"/>
      <c r="C1765" s="36" t="s">
        <v>30</v>
      </c>
      <c r="D1765" s="36" t="s">
        <v>12</v>
      </c>
      <c r="E1765" s="37">
        <v>1.2999999999999999E-2</v>
      </c>
      <c r="F1765" s="31">
        <v>20.484999999999999</v>
      </c>
      <c r="G1765" s="34">
        <f t="shared" si="28"/>
        <v>0.26630499999999996</v>
      </c>
      <c r="H1765" s="35"/>
      <c r="I1765" s="31"/>
      <c r="J1765" s="155">
        <v>130</v>
      </c>
    </row>
    <row r="1766" spans="1:10" x14ac:dyDescent="0.3">
      <c r="A1766" s="229"/>
      <c r="B1766" s="224"/>
      <c r="C1766" s="36" t="s">
        <v>594</v>
      </c>
      <c r="D1766" s="36" t="s">
        <v>93</v>
      </c>
      <c r="E1766" s="37">
        <v>1.0269999999999999</v>
      </c>
      <c r="F1766" s="34">
        <v>23.451499999999999</v>
      </c>
      <c r="G1766" s="34">
        <f t="shared" si="28"/>
        <v>24.084690499999997</v>
      </c>
      <c r="H1766" s="35"/>
      <c r="I1766" s="31"/>
      <c r="J1766" s="155">
        <v>130</v>
      </c>
    </row>
    <row r="1767" spans="1:10" x14ac:dyDescent="0.3">
      <c r="A1767" s="229"/>
      <c r="B1767" s="224"/>
      <c r="C1767" s="36" t="s">
        <v>592</v>
      </c>
      <c r="D1767" s="36" t="s">
        <v>20</v>
      </c>
      <c r="E1767" s="37">
        <v>0.01</v>
      </c>
      <c r="F1767" s="34">
        <v>3.1959999999999997</v>
      </c>
      <c r="G1767" s="34">
        <f t="shared" si="28"/>
        <v>3.1959999999999995E-2</v>
      </c>
      <c r="H1767" s="35"/>
      <c r="I1767" s="31"/>
      <c r="J1767" s="155">
        <v>130</v>
      </c>
    </row>
    <row r="1768" spans="1:10" ht="15" thickBot="1" x14ac:dyDescent="0.35">
      <c r="A1768" s="230"/>
      <c r="B1768" s="225"/>
      <c r="C1768" s="36"/>
      <c r="D1768" s="36"/>
      <c r="E1768" s="37"/>
      <c r="F1768" s="31" t="s">
        <v>560</v>
      </c>
      <c r="G1768" s="31" t="str">
        <f t="shared" si="28"/>
        <v/>
      </c>
      <c r="H1768" s="35"/>
      <c r="I1768" s="31"/>
      <c r="J1768" s="155">
        <v>130</v>
      </c>
    </row>
    <row r="1769" spans="1:10" ht="15" thickBot="1" x14ac:dyDescent="0.35">
      <c r="A1769" s="226" t="s">
        <v>595</v>
      </c>
      <c r="B1769" s="223" t="str">
        <f>INDEX(Orçamentária!A:B,MATCH(Composições!A1769,Orçamentária!A:A,0),2)</f>
        <v>Condutor 2,5 mm²</v>
      </c>
      <c r="C1769" s="41"/>
      <c r="D1769" s="26" t="str">
        <f>TRIM(INDEX(Orçamentária!C:C,MATCH(Composições!A1769,Orçamentária!A:A,0),1))</f>
        <v>m</v>
      </c>
      <c r="E1769" s="27"/>
      <c r="F1769" s="42" t="s">
        <v>560</v>
      </c>
      <c r="G1769" s="28" t="str">
        <f t="shared" si="28"/>
        <v/>
      </c>
      <c r="H1769" s="29"/>
      <c r="I1769" s="30"/>
      <c r="J1769" s="155">
        <v>2850</v>
      </c>
    </row>
    <row r="1770" spans="1:10" x14ac:dyDescent="0.3">
      <c r="A1770" s="229"/>
      <c r="B1770" s="224"/>
      <c r="C1770" s="32"/>
      <c r="D1770" s="32"/>
      <c r="E1770" s="33"/>
      <c r="F1770" s="43" t="s">
        <v>560</v>
      </c>
      <c r="G1770" s="31" t="str">
        <f t="shared" si="28"/>
        <v/>
      </c>
      <c r="H1770" s="35"/>
      <c r="I1770" s="31"/>
      <c r="J1770" s="155">
        <v>2850</v>
      </c>
    </row>
    <row r="1771" spans="1:10" x14ac:dyDescent="0.3">
      <c r="A1771" s="229"/>
      <c r="B1771" s="224"/>
      <c r="C1771" s="36" t="s">
        <v>74</v>
      </c>
      <c r="D1771" s="36" t="s">
        <v>12</v>
      </c>
      <c r="E1771" s="37">
        <v>0.03</v>
      </c>
      <c r="F1771" s="31">
        <v>15.928999999999998</v>
      </c>
      <c r="G1771" s="34">
        <f t="shared" si="28"/>
        <v>0.47786999999999996</v>
      </c>
      <c r="H1771" s="39">
        <f>SUM(G1771:G1774)</f>
        <v>5.3456839999999994</v>
      </c>
      <c r="I1771" s="40"/>
      <c r="J1771" s="155">
        <v>2850</v>
      </c>
    </row>
    <row r="1772" spans="1:10" x14ac:dyDescent="0.3">
      <c r="A1772" s="229"/>
      <c r="B1772" s="224"/>
      <c r="C1772" s="36" t="s">
        <v>30</v>
      </c>
      <c r="D1772" s="36" t="s">
        <v>12</v>
      </c>
      <c r="E1772" s="37">
        <v>0.03</v>
      </c>
      <c r="F1772" s="31">
        <v>20.484999999999999</v>
      </c>
      <c r="G1772" s="34">
        <f t="shared" si="28"/>
        <v>0.61454999999999993</v>
      </c>
      <c r="H1772" s="35"/>
      <c r="I1772" s="31"/>
      <c r="J1772" s="155">
        <v>2850</v>
      </c>
    </row>
    <row r="1773" spans="1:10" ht="26.4" x14ac:dyDescent="0.3">
      <c r="A1773" s="229"/>
      <c r="B1773" s="224"/>
      <c r="C1773" s="36" t="s">
        <v>596</v>
      </c>
      <c r="D1773" s="36" t="s">
        <v>93</v>
      </c>
      <c r="E1773" s="37">
        <v>1.19</v>
      </c>
      <c r="F1773" s="34">
        <v>3.55</v>
      </c>
      <c r="G1773" s="34">
        <f t="shared" si="28"/>
        <v>4.2244999999999999</v>
      </c>
      <c r="H1773" s="35"/>
      <c r="I1773" s="31"/>
      <c r="J1773" s="155">
        <v>2850</v>
      </c>
    </row>
    <row r="1774" spans="1:10" x14ac:dyDescent="0.3">
      <c r="A1774" s="229"/>
      <c r="B1774" s="224"/>
      <c r="C1774" s="36" t="s">
        <v>592</v>
      </c>
      <c r="D1774" s="36" t="s">
        <v>20</v>
      </c>
      <c r="E1774" s="37">
        <v>8.9999999999999993E-3</v>
      </c>
      <c r="F1774" s="34">
        <v>3.1959999999999997</v>
      </c>
      <c r="G1774" s="34">
        <f t="shared" si="28"/>
        <v>2.8763999999999994E-2</v>
      </c>
      <c r="H1774" s="35"/>
      <c r="I1774" s="31"/>
      <c r="J1774" s="155">
        <v>2850</v>
      </c>
    </row>
    <row r="1775" spans="1:10" ht="15" thickBot="1" x14ac:dyDescent="0.35">
      <c r="A1775" s="230"/>
      <c r="B1775" s="225"/>
      <c r="C1775" s="36"/>
      <c r="D1775" s="36"/>
      <c r="E1775" s="37"/>
      <c r="F1775" s="31" t="s">
        <v>560</v>
      </c>
      <c r="G1775" s="31" t="str">
        <f t="shared" si="28"/>
        <v/>
      </c>
      <c r="H1775" s="35"/>
      <c r="I1775" s="31"/>
      <c r="J1775" s="155">
        <v>2850</v>
      </c>
    </row>
    <row r="1776" spans="1:10" ht="15" hidden="1" thickBot="1" x14ac:dyDescent="0.35">
      <c r="A1776" s="226" t="s">
        <v>597</v>
      </c>
      <c r="B1776" s="223" t="e">
        <f>INDEX(#REF!,MATCH(Composições!A1776,#REF!,0),2)</f>
        <v>#REF!</v>
      </c>
      <c r="C1776" s="41"/>
      <c r="D1776" s="26" t="e">
        <f>TRIM(INDEX(#REF!,MATCH(Composições!A1776,#REF!,0),1))</f>
        <v>#REF!</v>
      </c>
      <c r="E1776" s="27"/>
      <c r="F1776" s="42" t="s">
        <v>560</v>
      </c>
      <c r="G1776" s="28" t="str">
        <f t="shared" si="28"/>
        <v/>
      </c>
      <c r="H1776" s="29"/>
      <c r="I1776" s="30"/>
      <c r="J1776" s="155">
        <v>0</v>
      </c>
    </row>
    <row r="1777" spans="1:10" ht="15" hidden="1" thickBot="1" x14ac:dyDescent="0.35">
      <c r="A1777" s="229"/>
      <c r="B1777" s="224"/>
      <c r="C1777" s="32"/>
      <c r="D1777" s="32"/>
      <c r="E1777" s="33"/>
      <c r="F1777" s="43" t="s">
        <v>560</v>
      </c>
      <c r="G1777" s="31" t="str">
        <f t="shared" si="28"/>
        <v/>
      </c>
      <c r="H1777" s="35"/>
      <c r="I1777" s="31"/>
      <c r="J1777" s="155">
        <v>0</v>
      </c>
    </row>
    <row r="1778" spans="1:10" ht="15" hidden="1" thickBot="1" x14ac:dyDescent="0.35">
      <c r="A1778" s="229"/>
      <c r="B1778" s="224"/>
      <c r="C1778" s="36" t="s">
        <v>74</v>
      </c>
      <c r="D1778" s="36" t="s">
        <v>12</v>
      </c>
      <c r="E1778" s="37">
        <v>5.1999999999999998E-2</v>
      </c>
      <c r="F1778" s="31">
        <v>15.928999999999998</v>
      </c>
      <c r="G1778" s="34">
        <f t="shared" si="28"/>
        <v>0.82830799999999993</v>
      </c>
      <c r="H1778" s="39">
        <f>SUM(G1778:G1781)</f>
        <v>1.9222919999999999</v>
      </c>
      <c r="I1778" s="40"/>
      <c r="J1778" s="155">
        <v>0</v>
      </c>
    </row>
    <row r="1779" spans="1:10" ht="15" hidden="1" thickBot="1" x14ac:dyDescent="0.35">
      <c r="A1779" s="229"/>
      <c r="B1779" s="224"/>
      <c r="C1779" s="36" t="s">
        <v>30</v>
      </c>
      <c r="D1779" s="36" t="s">
        <v>12</v>
      </c>
      <c r="E1779" s="37">
        <v>5.1999999999999998E-2</v>
      </c>
      <c r="F1779" s="31">
        <v>20.484999999999999</v>
      </c>
      <c r="G1779" s="34">
        <f t="shared" si="28"/>
        <v>1.0652199999999998</v>
      </c>
      <c r="H1779" s="35"/>
      <c r="I1779" s="31"/>
      <c r="J1779" s="155">
        <v>0</v>
      </c>
    </row>
    <row r="1780" spans="1:10" ht="27" hidden="1" thickBot="1" x14ac:dyDescent="0.35">
      <c r="A1780" s="229"/>
      <c r="B1780" s="224"/>
      <c r="C1780" s="36" t="s">
        <v>598</v>
      </c>
      <c r="D1780" s="36" t="s">
        <v>93</v>
      </c>
      <c r="E1780" s="37">
        <v>1.19</v>
      </c>
      <c r="F1780" s="34" t="s">
        <v>560</v>
      </c>
      <c r="G1780" s="34" t="str">
        <f t="shared" si="28"/>
        <v/>
      </c>
      <c r="H1780" s="35"/>
      <c r="I1780" s="31"/>
      <c r="J1780" s="155">
        <v>0</v>
      </c>
    </row>
    <row r="1781" spans="1:10" ht="15" hidden="1" thickBot="1" x14ac:dyDescent="0.35">
      <c r="A1781" s="229"/>
      <c r="B1781" s="224"/>
      <c r="C1781" s="36" t="s">
        <v>592</v>
      </c>
      <c r="D1781" s="36" t="s">
        <v>20</v>
      </c>
      <c r="E1781" s="37">
        <v>8.9999999999999993E-3</v>
      </c>
      <c r="F1781" s="34">
        <v>3.1959999999999997</v>
      </c>
      <c r="G1781" s="34">
        <f t="shared" si="28"/>
        <v>2.8763999999999994E-2</v>
      </c>
      <c r="H1781" s="35"/>
      <c r="I1781" s="31"/>
      <c r="J1781" s="155">
        <v>0</v>
      </c>
    </row>
    <row r="1782" spans="1:10" ht="15" hidden="1" thickBot="1" x14ac:dyDescent="0.35">
      <c r="A1782" s="230"/>
      <c r="B1782" s="225"/>
      <c r="C1782" s="36"/>
      <c r="D1782" s="36"/>
      <c r="E1782" s="37"/>
      <c r="F1782" s="31" t="s">
        <v>560</v>
      </c>
      <c r="G1782" s="31" t="str">
        <f t="shared" si="28"/>
        <v/>
      </c>
      <c r="H1782" s="35"/>
      <c r="I1782" s="31"/>
      <c r="J1782" s="155">
        <v>0</v>
      </c>
    </row>
    <row r="1783" spans="1:10" ht="15" thickBot="1" x14ac:dyDescent="0.35">
      <c r="A1783" s="226" t="s">
        <v>599</v>
      </c>
      <c r="B1783" s="223" t="str">
        <f>INDEX(Orçamentária!A:B,MATCH(Composições!A1783,Orçamentária!A:A,0),2)</f>
        <v>Condutor 4 mm²</v>
      </c>
      <c r="C1783" s="41"/>
      <c r="D1783" s="26" t="str">
        <f>TRIM(INDEX(Orçamentária!C:C,MATCH(Composições!A1783,Orçamentária!A:A,0),1))</f>
        <v>m</v>
      </c>
      <c r="E1783" s="27"/>
      <c r="F1783" s="42" t="s">
        <v>560</v>
      </c>
      <c r="G1783" s="28" t="str">
        <f t="shared" si="28"/>
        <v/>
      </c>
      <c r="H1783" s="29"/>
      <c r="I1783" s="30"/>
      <c r="J1783" s="155">
        <v>2600</v>
      </c>
    </row>
    <row r="1784" spans="1:10" x14ac:dyDescent="0.3">
      <c r="A1784" s="229"/>
      <c r="B1784" s="224"/>
      <c r="C1784" s="32"/>
      <c r="D1784" s="32"/>
      <c r="E1784" s="33"/>
      <c r="F1784" s="43" t="s">
        <v>560</v>
      </c>
      <c r="G1784" s="31" t="str">
        <f t="shared" si="28"/>
        <v/>
      </c>
      <c r="H1784" s="35"/>
      <c r="I1784" s="31"/>
      <c r="J1784" s="155">
        <v>2600</v>
      </c>
    </row>
    <row r="1785" spans="1:10" x14ac:dyDescent="0.3">
      <c r="A1785" s="229"/>
      <c r="B1785" s="224"/>
      <c r="C1785" s="36" t="s">
        <v>74</v>
      </c>
      <c r="D1785" s="36" t="s">
        <v>12</v>
      </c>
      <c r="E1785" s="37">
        <v>0.04</v>
      </c>
      <c r="F1785" s="31">
        <v>15.928999999999998</v>
      </c>
      <c r="G1785" s="34">
        <f t="shared" si="28"/>
        <v>0.63715999999999995</v>
      </c>
      <c r="H1785" s="39">
        <f>SUM(G1785:G1788)</f>
        <v>8.0541239999999998</v>
      </c>
      <c r="I1785" s="40"/>
      <c r="J1785" s="155">
        <v>2600</v>
      </c>
    </row>
    <row r="1786" spans="1:10" x14ac:dyDescent="0.3">
      <c r="A1786" s="229"/>
      <c r="B1786" s="224"/>
      <c r="C1786" s="36" t="s">
        <v>30</v>
      </c>
      <c r="D1786" s="36" t="s">
        <v>12</v>
      </c>
      <c r="E1786" s="37">
        <v>0.04</v>
      </c>
      <c r="F1786" s="31">
        <v>20.484999999999999</v>
      </c>
      <c r="G1786" s="34">
        <f t="shared" si="28"/>
        <v>0.81940000000000002</v>
      </c>
      <c r="H1786" s="35"/>
      <c r="I1786" s="31"/>
      <c r="J1786" s="155">
        <v>2600</v>
      </c>
    </row>
    <row r="1787" spans="1:10" ht="26.4" x14ac:dyDescent="0.3">
      <c r="A1787" s="229"/>
      <c r="B1787" s="224"/>
      <c r="C1787" s="36" t="s">
        <v>600</v>
      </c>
      <c r="D1787" s="36" t="s">
        <v>93</v>
      </c>
      <c r="E1787" s="37">
        <v>1.19</v>
      </c>
      <c r="F1787" s="34">
        <v>5.52</v>
      </c>
      <c r="G1787" s="34">
        <f t="shared" si="28"/>
        <v>6.5687999999999995</v>
      </c>
      <c r="H1787" s="35"/>
      <c r="I1787" s="31"/>
      <c r="J1787" s="155">
        <v>2600</v>
      </c>
    </row>
    <row r="1788" spans="1:10" x14ac:dyDescent="0.3">
      <c r="A1788" s="229"/>
      <c r="B1788" s="224"/>
      <c r="C1788" s="36" t="s">
        <v>592</v>
      </c>
      <c r="D1788" s="36" t="s">
        <v>20</v>
      </c>
      <c r="E1788" s="37">
        <v>8.9999999999999993E-3</v>
      </c>
      <c r="F1788" s="34">
        <v>3.1959999999999997</v>
      </c>
      <c r="G1788" s="34">
        <f t="shared" si="28"/>
        <v>2.8763999999999994E-2</v>
      </c>
      <c r="H1788" s="35"/>
      <c r="I1788" s="31"/>
      <c r="J1788" s="155">
        <v>2600</v>
      </c>
    </row>
    <row r="1789" spans="1:10" ht="15" thickBot="1" x14ac:dyDescent="0.35">
      <c r="A1789" s="230"/>
      <c r="B1789" s="225"/>
      <c r="C1789" s="36"/>
      <c r="D1789" s="36"/>
      <c r="E1789" s="37"/>
      <c r="F1789" s="31" t="s">
        <v>560</v>
      </c>
      <c r="G1789" s="31" t="str">
        <f t="shared" si="28"/>
        <v/>
      </c>
      <c r="H1789" s="35"/>
      <c r="I1789" s="31"/>
      <c r="J1789" s="155">
        <v>2600</v>
      </c>
    </row>
    <row r="1790" spans="1:10" ht="15" hidden="1" thickBot="1" x14ac:dyDescent="0.35">
      <c r="A1790" s="226" t="s">
        <v>601</v>
      </c>
      <c r="B1790" s="223" t="e">
        <f>INDEX(#REF!,MATCH(Composições!A1790,#REF!,0),2)</f>
        <v>#REF!</v>
      </c>
      <c r="C1790" s="41"/>
      <c r="D1790" s="26" t="e">
        <f>TRIM(INDEX(#REF!,MATCH(Composições!A1790,#REF!,0),1))</f>
        <v>#REF!</v>
      </c>
      <c r="E1790" s="27"/>
      <c r="F1790" s="42" t="s">
        <v>560</v>
      </c>
      <c r="G1790" s="28" t="str">
        <f t="shared" si="28"/>
        <v/>
      </c>
      <c r="H1790" s="29"/>
      <c r="I1790" s="30"/>
      <c r="J1790" s="155">
        <v>0</v>
      </c>
    </row>
    <row r="1791" spans="1:10" ht="15" hidden="1" thickBot="1" x14ac:dyDescent="0.35">
      <c r="A1791" s="229"/>
      <c r="B1791" s="224"/>
      <c r="C1791" s="32"/>
      <c r="D1791" s="32"/>
      <c r="E1791" s="33"/>
      <c r="F1791" s="43" t="s">
        <v>560</v>
      </c>
      <c r="G1791" s="31" t="str">
        <f t="shared" si="28"/>
        <v/>
      </c>
      <c r="H1791" s="35"/>
      <c r="I1791" s="31"/>
      <c r="J1791" s="155">
        <v>0</v>
      </c>
    </row>
    <row r="1792" spans="1:10" ht="15" hidden="1" thickBot="1" x14ac:dyDescent="0.35">
      <c r="A1792" s="229"/>
      <c r="B1792" s="224"/>
      <c r="C1792" s="36" t="s">
        <v>74</v>
      </c>
      <c r="D1792" s="36" t="s">
        <v>12</v>
      </c>
      <c r="E1792" s="37">
        <v>8.9999999999999993E-3</v>
      </c>
      <c r="F1792" s="31">
        <v>15.928999999999998</v>
      </c>
      <c r="G1792" s="34">
        <f t="shared" si="28"/>
        <v>0.14336099999999999</v>
      </c>
      <c r="H1792" s="39">
        <f>SUM(G1792:G1795)</f>
        <v>0.35968599999999995</v>
      </c>
      <c r="I1792" s="40"/>
      <c r="J1792" s="155">
        <v>0</v>
      </c>
    </row>
    <row r="1793" spans="1:10" ht="15" hidden="1" thickBot="1" x14ac:dyDescent="0.35">
      <c r="A1793" s="229"/>
      <c r="B1793" s="224"/>
      <c r="C1793" s="36" t="s">
        <v>30</v>
      </c>
      <c r="D1793" s="36" t="s">
        <v>12</v>
      </c>
      <c r="E1793" s="37">
        <v>8.9999999999999993E-3</v>
      </c>
      <c r="F1793" s="31">
        <v>20.484999999999999</v>
      </c>
      <c r="G1793" s="34">
        <f t="shared" si="28"/>
        <v>0.18436499999999997</v>
      </c>
      <c r="H1793" s="35"/>
      <c r="I1793" s="31"/>
      <c r="J1793" s="155">
        <v>0</v>
      </c>
    </row>
    <row r="1794" spans="1:10" ht="27" hidden="1" thickBot="1" x14ac:dyDescent="0.35">
      <c r="A1794" s="229"/>
      <c r="B1794" s="224"/>
      <c r="C1794" s="36" t="s">
        <v>602</v>
      </c>
      <c r="D1794" s="36" t="s">
        <v>93</v>
      </c>
      <c r="E1794" s="37">
        <v>1.0269999999999999</v>
      </c>
      <c r="F1794" s="34" t="s">
        <v>560</v>
      </c>
      <c r="G1794" s="34" t="str">
        <f t="shared" si="28"/>
        <v/>
      </c>
      <c r="H1794" s="35"/>
      <c r="I1794" s="31"/>
      <c r="J1794" s="155">
        <v>0</v>
      </c>
    </row>
    <row r="1795" spans="1:10" ht="15" hidden="1" thickBot="1" x14ac:dyDescent="0.35">
      <c r="A1795" s="229"/>
      <c r="B1795" s="224"/>
      <c r="C1795" s="36" t="s">
        <v>592</v>
      </c>
      <c r="D1795" s="36" t="s">
        <v>20</v>
      </c>
      <c r="E1795" s="37">
        <v>0.01</v>
      </c>
      <c r="F1795" s="34">
        <v>3.1959999999999997</v>
      </c>
      <c r="G1795" s="34">
        <f t="shared" si="28"/>
        <v>3.1959999999999995E-2</v>
      </c>
      <c r="H1795" s="35"/>
      <c r="I1795" s="31"/>
      <c r="J1795" s="155">
        <v>0</v>
      </c>
    </row>
    <row r="1796" spans="1:10" ht="15" hidden="1" thickBot="1" x14ac:dyDescent="0.35">
      <c r="A1796" s="230"/>
      <c r="B1796" s="225"/>
      <c r="C1796" s="36"/>
      <c r="D1796" s="36"/>
      <c r="E1796" s="37"/>
      <c r="F1796" s="31" t="s">
        <v>560</v>
      </c>
      <c r="G1796" s="31" t="str">
        <f t="shared" si="28"/>
        <v/>
      </c>
      <c r="H1796" s="35"/>
      <c r="I1796" s="31"/>
      <c r="J1796" s="155">
        <v>0</v>
      </c>
    </row>
    <row r="1797" spans="1:10" ht="15" hidden="1" thickBot="1" x14ac:dyDescent="0.35">
      <c r="A1797" s="226" t="s">
        <v>603</v>
      </c>
      <c r="B1797" s="223" t="e">
        <f>INDEX(#REF!,MATCH(Composições!A1797,#REF!,0),2)</f>
        <v>#REF!</v>
      </c>
      <c r="C1797" s="41"/>
      <c r="D1797" s="26" t="e">
        <f>TRIM(INDEX(#REF!,MATCH(Composições!A1797,#REF!,0),1))</f>
        <v>#REF!</v>
      </c>
      <c r="E1797" s="27"/>
      <c r="F1797" s="42" t="s">
        <v>560</v>
      </c>
      <c r="G1797" s="28" t="str">
        <f t="shared" si="28"/>
        <v/>
      </c>
      <c r="H1797" s="29"/>
      <c r="I1797" s="30"/>
      <c r="J1797" s="155">
        <v>0</v>
      </c>
    </row>
    <row r="1798" spans="1:10" ht="15" hidden="1" thickBot="1" x14ac:dyDescent="0.35">
      <c r="A1798" s="229"/>
      <c r="B1798" s="224"/>
      <c r="C1798" s="32"/>
      <c r="D1798" s="32"/>
      <c r="E1798" s="33"/>
      <c r="F1798" s="43" t="s">
        <v>560</v>
      </c>
      <c r="G1798" s="31" t="str">
        <f t="shared" si="28"/>
        <v/>
      </c>
      <c r="H1798" s="35"/>
      <c r="I1798" s="31"/>
      <c r="J1798" s="155">
        <v>0</v>
      </c>
    </row>
    <row r="1799" spans="1:10" ht="15" hidden="1" thickBot="1" x14ac:dyDescent="0.35">
      <c r="A1799" s="229"/>
      <c r="B1799" s="224"/>
      <c r="C1799" s="36" t="s">
        <v>74</v>
      </c>
      <c r="D1799" s="36" t="s">
        <v>12</v>
      </c>
      <c r="E1799" s="37">
        <v>5.1999999999999998E-2</v>
      </c>
      <c r="F1799" s="31">
        <v>15.928999999999998</v>
      </c>
      <c r="G1799" s="31">
        <f t="shared" si="28"/>
        <v>0.82830799999999993</v>
      </c>
      <c r="H1799" s="39">
        <f>SUM(G1799:G1802)</f>
        <v>1.9222919999999999</v>
      </c>
      <c r="I1799" s="40"/>
      <c r="J1799" s="155">
        <v>0</v>
      </c>
    </row>
    <row r="1800" spans="1:10" ht="15" hidden="1" thickBot="1" x14ac:dyDescent="0.35">
      <c r="A1800" s="229"/>
      <c r="B1800" s="224"/>
      <c r="C1800" s="36" t="s">
        <v>30</v>
      </c>
      <c r="D1800" s="36" t="s">
        <v>12</v>
      </c>
      <c r="E1800" s="37">
        <v>5.1999999999999998E-2</v>
      </c>
      <c r="F1800" s="31">
        <v>20.484999999999999</v>
      </c>
      <c r="G1800" s="31">
        <f t="shared" si="28"/>
        <v>1.0652199999999998</v>
      </c>
      <c r="H1800" s="35"/>
      <c r="I1800" s="31"/>
      <c r="J1800" s="155">
        <v>0</v>
      </c>
    </row>
    <row r="1801" spans="1:10" ht="27" hidden="1" thickBot="1" x14ac:dyDescent="0.35">
      <c r="A1801" s="229"/>
      <c r="B1801" s="224"/>
      <c r="C1801" s="36" t="s">
        <v>604</v>
      </c>
      <c r="D1801" s="36" t="s">
        <v>93</v>
      </c>
      <c r="E1801" s="37">
        <v>1.19</v>
      </c>
      <c r="F1801" s="34" t="s">
        <v>560</v>
      </c>
      <c r="G1801" s="31" t="str">
        <f t="shared" si="28"/>
        <v/>
      </c>
      <c r="H1801" s="35"/>
      <c r="I1801" s="31"/>
      <c r="J1801" s="155">
        <v>0</v>
      </c>
    </row>
    <row r="1802" spans="1:10" ht="15" hidden="1" thickBot="1" x14ac:dyDescent="0.35">
      <c r="A1802" s="229"/>
      <c r="B1802" s="224"/>
      <c r="C1802" s="36" t="s">
        <v>592</v>
      </c>
      <c r="D1802" s="36" t="s">
        <v>20</v>
      </c>
      <c r="E1802" s="37">
        <v>8.9999999999999993E-3</v>
      </c>
      <c r="F1802" s="34">
        <v>3.1959999999999997</v>
      </c>
      <c r="G1802" s="31">
        <f t="shared" si="28"/>
        <v>2.8763999999999994E-2</v>
      </c>
      <c r="H1802" s="35"/>
      <c r="I1802" s="31"/>
      <c r="J1802" s="155">
        <v>0</v>
      </c>
    </row>
    <row r="1803" spans="1:10" ht="15" hidden="1" thickBot="1" x14ac:dyDescent="0.35">
      <c r="A1803" s="230"/>
      <c r="B1803" s="225"/>
      <c r="C1803" s="36"/>
      <c r="D1803" s="36"/>
      <c r="E1803" s="37"/>
      <c r="F1803" s="31" t="s">
        <v>560</v>
      </c>
      <c r="G1803" s="31" t="str">
        <f t="shared" si="28"/>
        <v/>
      </c>
      <c r="H1803" s="35"/>
      <c r="I1803" s="31"/>
      <c r="J1803" s="155">
        <v>0</v>
      </c>
    </row>
    <row r="1804" spans="1:10" ht="15" hidden="1" thickBot="1" x14ac:dyDescent="0.35">
      <c r="A1804" s="226" t="s">
        <v>605</v>
      </c>
      <c r="B1804" s="223" t="e">
        <f>INDEX(#REF!,MATCH(Composições!A1804,#REF!,0),2)</f>
        <v>#REF!</v>
      </c>
      <c r="C1804" s="41"/>
      <c r="D1804" s="26" t="e">
        <f>TRIM(INDEX(#REF!,MATCH(Composições!A1804,#REF!,0),1))</f>
        <v>#REF!</v>
      </c>
      <c r="E1804" s="27"/>
      <c r="F1804" s="42" t="s">
        <v>560</v>
      </c>
      <c r="G1804" s="28" t="str">
        <f t="shared" si="28"/>
        <v/>
      </c>
      <c r="H1804" s="29"/>
      <c r="I1804" s="30"/>
      <c r="J1804" s="155">
        <v>0</v>
      </c>
    </row>
    <row r="1805" spans="1:10" ht="15" hidden="1" thickBot="1" x14ac:dyDescent="0.35">
      <c r="A1805" s="229"/>
      <c r="B1805" s="224"/>
      <c r="C1805" s="32"/>
      <c r="D1805" s="32"/>
      <c r="E1805" s="33"/>
      <c r="F1805" s="43" t="s">
        <v>560</v>
      </c>
      <c r="G1805" s="31" t="str">
        <f t="shared" si="28"/>
        <v/>
      </c>
      <c r="H1805" s="35"/>
      <c r="I1805" s="31"/>
      <c r="J1805" s="155">
        <v>0</v>
      </c>
    </row>
    <row r="1806" spans="1:10" ht="53.4" hidden="1" thickBot="1" x14ac:dyDescent="0.35">
      <c r="A1806" s="229"/>
      <c r="B1806" s="224"/>
      <c r="C1806" s="36" t="s">
        <v>606</v>
      </c>
      <c r="D1806" s="47" t="s">
        <v>20</v>
      </c>
      <c r="E1806" s="37">
        <v>1</v>
      </c>
      <c r="F1806" s="34" t="s">
        <v>560</v>
      </c>
      <c r="G1806" s="31" t="str">
        <f t="shared" si="28"/>
        <v/>
      </c>
      <c r="H1806" s="39">
        <f>SUM(G1806:G1809)</f>
        <v>33.0616544844288</v>
      </c>
      <c r="I1806" s="40"/>
      <c r="J1806" s="155">
        <v>0</v>
      </c>
    </row>
    <row r="1807" spans="1:10" ht="40.200000000000003" hidden="1" thickBot="1" x14ac:dyDescent="0.35">
      <c r="A1807" s="229"/>
      <c r="B1807" s="224"/>
      <c r="C1807" s="36" t="s">
        <v>1689</v>
      </c>
      <c r="D1807" s="47" t="s">
        <v>122</v>
      </c>
      <c r="E1807" s="37">
        <v>1.9199999999999998E-2</v>
      </c>
      <c r="F1807" s="31">
        <v>520.10951481400002</v>
      </c>
      <c r="G1807" s="31">
        <f t="shared" si="28"/>
        <v>9.9861026844287988</v>
      </c>
      <c r="H1807" s="35"/>
      <c r="I1807" s="31"/>
      <c r="J1807" s="155">
        <v>0</v>
      </c>
    </row>
    <row r="1808" spans="1:10" ht="15" hidden="1" thickBot="1" x14ac:dyDescent="0.35">
      <c r="A1808" s="229"/>
      <c r="B1808" s="224"/>
      <c r="C1808" s="36" t="s">
        <v>74</v>
      </c>
      <c r="D1808" s="47" t="s">
        <v>12</v>
      </c>
      <c r="E1808" s="37">
        <v>0.63370000000000004</v>
      </c>
      <c r="F1808" s="31">
        <v>15.928999999999998</v>
      </c>
      <c r="G1808" s="31">
        <f t="shared" si="28"/>
        <v>10.094207299999999</v>
      </c>
      <c r="H1808" s="35"/>
      <c r="I1808" s="31"/>
      <c r="J1808" s="155">
        <v>0</v>
      </c>
    </row>
    <row r="1809" spans="1:10" ht="15" hidden="1" thickBot="1" x14ac:dyDescent="0.35">
      <c r="A1809" s="229"/>
      <c r="B1809" s="224"/>
      <c r="C1809" s="36" t="s">
        <v>30</v>
      </c>
      <c r="D1809" s="47" t="s">
        <v>12</v>
      </c>
      <c r="E1809" s="37">
        <v>0.63370000000000004</v>
      </c>
      <c r="F1809" s="31">
        <v>20.484999999999999</v>
      </c>
      <c r="G1809" s="34">
        <f t="shared" si="28"/>
        <v>12.981344500000001</v>
      </c>
      <c r="H1809" s="35"/>
      <c r="I1809" s="31"/>
      <c r="J1809" s="155">
        <v>0</v>
      </c>
    </row>
    <row r="1810" spans="1:10" ht="15" hidden="1" thickBot="1" x14ac:dyDescent="0.35">
      <c r="A1810" s="229"/>
      <c r="B1810" s="225"/>
      <c r="C1810" s="36"/>
      <c r="D1810" s="36"/>
      <c r="E1810" s="37"/>
      <c r="F1810" s="31" t="s">
        <v>560</v>
      </c>
      <c r="G1810" s="31" t="str">
        <f t="shared" ref="G1810:G1873" si="29">IF(ISNUMBER(F1810),E1810*F1810,"")</f>
        <v/>
      </c>
      <c r="H1810" s="35"/>
      <c r="I1810" s="31"/>
      <c r="J1810" s="155">
        <v>0</v>
      </c>
    </row>
    <row r="1811" spans="1:10" ht="15" hidden="1" thickBot="1" x14ac:dyDescent="0.35">
      <c r="A1811" s="226" t="s">
        <v>607</v>
      </c>
      <c r="B1811" s="223" t="e">
        <f>INDEX(#REF!,MATCH(Composições!A1811,#REF!,0),2)</f>
        <v>#REF!</v>
      </c>
      <c r="C1811" s="41"/>
      <c r="D1811" s="26" t="e">
        <f>TRIM(INDEX(#REF!,MATCH(Composições!A1811,#REF!,0),1))</f>
        <v>#REF!</v>
      </c>
      <c r="E1811" s="27"/>
      <c r="F1811" s="42" t="s">
        <v>560</v>
      </c>
      <c r="G1811" s="28" t="str">
        <f t="shared" si="29"/>
        <v/>
      </c>
      <c r="H1811" s="29"/>
      <c r="I1811" s="30"/>
      <c r="J1811" s="155">
        <v>0</v>
      </c>
    </row>
    <row r="1812" spans="1:10" ht="15" hidden="1" thickBot="1" x14ac:dyDescent="0.35">
      <c r="A1812" s="229"/>
      <c r="B1812" s="224"/>
      <c r="C1812" s="32"/>
      <c r="D1812" s="32"/>
      <c r="E1812" s="33"/>
      <c r="F1812" s="43" t="s">
        <v>560</v>
      </c>
      <c r="G1812" s="31" t="str">
        <f t="shared" si="29"/>
        <v/>
      </c>
      <c r="H1812" s="35"/>
      <c r="I1812" s="31"/>
      <c r="J1812" s="155">
        <v>0</v>
      </c>
    </row>
    <row r="1813" spans="1:10" ht="15" hidden="1" thickBot="1" x14ac:dyDescent="0.35">
      <c r="A1813" s="229"/>
      <c r="B1813" s="224"/>
      <c r="C1813" s="36" t="s">
        <v>52</v>
      </c>
      <c r="D1813" s="47" t="s">
        <v>12</v>
      </c>
      <c r="E1813" s="37">
        <v>2</v>
      </c>
      <c r="F1813" s="31">
        <v>16.013999999999999</v>
      </c>
      <c r="G1813" s="34">
        <f t="shared" si="29"/>
        <v>32.027999999999999</v>
      </c>
      <c r="H1813" s="39">
        <f>SUM(G1813:G1814)</f>
        <v>74.494</v>
      </c>
      <c r="I1813" s="40"/>
      <c r="J1813" s="155">
        <v>0</v>
      </c>
    </row>
    <row r="1814" spans="1:10" ht="15" hidden="1" thickBot="1" x14ac:dyDescent="0.35">
      <c r="A1814" s="229"/>
      <c r="B1814" s="224"/>
      <c r="C1814" s="36" t="s">
        <v>608</v>
      </c>
      <c r="D1814" s="47" t="s">
        <v>12</v>
      </c>
      <c r="E1814" s="37">
        <v>2</v>
      </c>
      <c r="F1814" s="31">
        <v>21.233000000000001</v>
      </c>
      <c r="G1814" s="31">
        <f t="shared" si="29"/>
        <v>42.466000000000001</v>
      </c>
      <c r="H1814" s="35"/>
      <c r="I1814" s="31"/>
      <c r="J1814" s="155">
        <v>0</v>
      </c>
    </row>
    <row r="1815" spans="1:10" ht="15" hidden="1" thickBot="1" x14ac:dyDescent="0.35">
      <c r="A1815" s="230"/>
      <c r="B1815" s="225"/>
      <c r="C1815" s="36"/>
      <c r="D1815" s="36"/>
      <c r="E1815" s="37"/>
      <c r="F1815" s="31" t="s">
        <v>560</v>
      </c>
      <c r="G1815" s="31" t="str">
        <f t="shared" si="29"/>
        <v/>
      </c>
      <c r="H1815" s="35"/>
      <c r="I1815" s="31"/>
      <c r="J1815" s="155">
        <v>0</v>
      </c>
    </row>
    <row r="1816" spans="1:10" ht="15" hidden="1" thickBot="1" x14ac:dyDescent="0.35">
      <c r="A1816" s="226" t="s">
        <v>609</v>
      </c>
      <c r="B1816" s="223" t="e">
        <f>INDEX(#REF!,MATCH(Composições!A1816,#REF!,0),2)</f>
        <v>#REF!</v>
      </c>
      <c r="C1816" s="41"/>
      <c r="D1816" s="26" t="e">
        <f>TRIM(INDEX(#REF!,MATCH(Composições!A1816,#REF!,0),1))</f>
        <v>#REF!</v>
      </c>
      <c r="E1816" s="27"/>
      <c r="F1816" s="42" t="s">
        <v>560</v>
      </c>
      <c r="G1816" s="28" t="str">
        <f t="shared" si="29"/>
        <v/>
      </c>
      <c r="H1816" s="29"/>
      <c r="I1816" s="30"/>
      <c r="J1816" s="155">
        <v>0</v>
      </c>
    </row>
    <row r="1817" spans="1:10" ht="15" hidden="1" thickBot="1" x14ac:dyDescent="0.35">
      <c r="A1817" s="229"/>
      <c r="B1817" s="224"/>
      <c r="C1817" s="32"/>
      <c r="D1817" s="32"/>
      <c r="E1817" s="33"/>
      <c r="F1817" s="43" t="s">
        <v>560</v>
      </c>
      <c r="G1817" s="31" t="str">
        <f t="shared" si="29"/>
        <v/>
      </c>
      <c r="H1817" s="35"/>
      <c r="I1817" s="31"/>
      <c r="J1817" s="155">
        <v>0</v>
      </c>
    </row>
    <row r="1818" spans="1:10" ht="15" hidden="1" thickBot="1" x14ac:dyDescent="0.35">
      <c r="A1818" s="229"/>
      <c r="B1818" s="224"/>
      <c r="C1818" s="36" t="s">
        <v>52</v>
      </c>
      <c r="D1818" s="47" t="s">
        <v>12</v>
      </c>
      <c r="E1818" s="37">
        <v>3</v>
      </c>
      <c r="F1818" s="31">
        <v>16.013999999999999</v>
      </c>
      <c r="G1818" s="34">
        <f t="shared" si="29"/>
        <v>48.042000000000002</v>
      </c>
      <c r="H1818" s="39">
        <f>SUM(G1818:G1819)</f>
        <v>111.741</v>
      </c>
      <c r="I1818" s="40"/>
      <c r="J1818" s="155">
        <v>0</v>
      </c>
    </row>
    <row r="1819" spans="1:10" ht="15" hidden="1" thickBot="1" x14ac:dyDescent="0.35">
      <c r="A1819" s="229"/>
      <c r="B1819" s="224"/>
      <c r="C1819" s="36" t="s">
        <v>608</v>
      </c>
      <c r="D1819" s="47" t="s">
        <v>12</v>
      </c>
      <c r="E1819" s="37">
        <v>3</v>
      </c>
      <c r="F1819" s="31">
        <v>21.233000000000001</v>
      </c>
      <c r="G1819" s="31">
        <f t="shared" si="29"/>
        <v>63.698999999999998</v>
      </c>
      <c r="H1819" s="35"/>
      <c r="I1819" s="31"/>
      <c r="J1819" s="155">
        <v>0</v>
      </c>
    </row>
    <row r="1820" spans="1:10" ht="15" hidden="1" thickBot="1" x14ac:dyDescent="0.35">
      <c r="A1820" s="230"/>
      <c r="B1820" s="225"/>
      <c r="C1820" s="36"/>
      <c r="D1820" s="36"/>
      <c r="E1820" s="37"/>
      <c r="F1820" s="31" t="s">
        <v>560</v>
      </c>
      <c r="G1820" s="31" t="str">
        <f t="shared" si="29"/>
        <v/>
      </c>
      <c r="H1820" s="35"/>
      <c r="I1820" s="31"/>
      <c r="J1820" s="155">
        <v>0</v>
      </c>
    </row>
    <row r="1821" spans="1:10" ht="15" hidden="1" thickBot="1" x14ac:dyDescent="0.35">
      <c r="A1821" s="226" t="s">
        <v>610</v>
      </c>
      <c r="B1821" s="223" t="e">
        <f>INDEX(#REF!,MATCH(Composições!A1821,#REF!,0),2)</f>
        <v>#REF!</v>
      </c>
      <c r="C1821" s="41"/>
      <c r="D1821" s="26" t="e">
        <f>TRIM(INDEX(#REF!,MATCH(Composições!A1821,#REF!,0),1))</f>
        <v>#REF!</v>
      </c>
      <c r="E1821" s="27"/>
      <c r="F1821" s="42" t="s">
        <v>560</v>
      </c>
      <c r="G1821" s="28" t="str">
        <f t="shared" si="29"/>
        <v/>
      </c>
      <c r="H1821" s="29"/>
      <c r="I1821" s="30"/>
      <c r="J1821" s="155">
        <v>0</v>
      </c>
    </row>
    <row r="1822" spans="1:10" ht="15" hidden="1" thickBot="1" x14ac:dyDescent="0.35">
      <c r="A1822" s="229"/>
      <c r="B1822" s="224"/>
      <c r="C1822" s="32"/>
      <c r="D1822" s="32"/>
      <c r="E1822" s="33"/>
      <c r="F1822" s="43" t="s">
        <v>560</v>
      </c>
      <c r="G1822" s="31" t="str">
        <f t="shared" si="29"/>
        <v/>
      </c>
      <c r="H1822" s="35"/>
      <c r="I1822" s="31"/>
      <c r="J1822" s="155">
        <v>0</v>
      </c>
    </row>
    <row r="1823" spans="1:10" ht="15" hidden="1" thickBot="1" x14ac:dyDescent="0.35">
      <c r="A1823" s="229"/>
      <c r="B1823" s="224"/>
      <c r="C1823" s="36" t="s">
        <v>30</v>
      </c>
      <c r="D1823" s="36" t="s">
        <v>12</v>
      </c>
      <c r="E1823" s="37">
        <v>1</v>
      </c>
      <c r="F1823" s="31">
        <v>20.484999999999999</v>
      </c>
      <c r="G1823" s="34">
        <f t="shared" si="29"/>
        <v>20.484999999999999</v>
      </c>
      <c r="H1823" s="39">
        <f>SUM(G1823:G1825)</f>
        <v>36.414000000000001</v>
      </c>
      <c r="I1823" s="40"/>
      <c r="J1823" s="155">
        <v>0</v>
      </c>
    </row>
    <row r="1824" spans="1:10" ht="15" hidden="1" thickBot="1" x14ac:dyDescent="0.35">
      <c r="A1824" s="229"/>
      <c r="B1824" s="224"/>
      <c r="C1824" s="36" t="s">
        <v>74</v>
      </c>
      <c r="D1824" s="47" t="s">
        <v>12</v>
      </c>
      <c r="E1824" s="37">
        <v>1</v>
      </c>
      <c r="F1824" s="31">
        <v>15.928999999999998</v>
      </c>
      <c r="G1824" s="34">
        <f t="shared" si="29"/>
        <v>15.928999999999998</v>
      </c>
      <c r="H1824" s="35"/>
      <c r="I1824" s="31"/>
      <c r="J1824" s="155">
        <v>0</v>
      </c>
    </row>
    <row r="1825" spans="1:10" ht="27" hidden="1" thickBot="1" x14ac:dyDescent="0.35">
      <c r="A1825" s="229"/>
      <c r="B1825" s="224"/>
      <c r="C1825" s="36" t="s">
        <v>611</v>
      </c>
      <c r="D1825" s="36" t="s">
        <v>147</v>
      </c>
      <c r="E1825" s="37">
        <v>1</v>
      </c>
      <c r="F1825" s="34" t="s">
        <v>560</v>
      </c>
      <c r="G1825" s="34" t="str">
        <f t="shared" si="29"/>
        <v/>
      </c>
      <c r="H1825" s="35"/>
      <c r="I1825" s="31"/>
      <c r="J1825" s="155">
        <v>0</v>
      </c>
    </row>
    <row r="1826" spans="1:10" ht="15" hidden="1" thickBot="1" x14ac:dyDescent="0.35">
      <c r="A1826" s="230"/>
      <c r="B1826" s="225"/>
      <c r="C1826" s="36"/>
      <c r="D1826" s="36"/>
      <c r="E1826" s="37"/>
      <c r="F1826" s="31" t="s">
        <v>560</v>
      </c>
      <c r="G1826" s="31" t="str">
        <f t="shared" si="29"/>
        <v/>
      </c>
      <c r="H1826" s="35"/>
      <c r="I1826" s="31"/>
      <c r="J1826" s="155">
        <v>0</v>
      </c>
    </row>
    <row r="1827" spans="1:10" ht="15" hidden="1" thickBot="1" x14ac:dyDescent="0.35">
      <c r="A1827" s="226" t="s">
        <v>612</v>
      </c>
      <c r="B1827" s="223" t="e">
        <f>INDEX(#REF!,MATCH(Composições!A1827,#REF!,0),2)</f>
        <v>#REF!</v>
      </c>
      <c r="C1827" s="41"/>
      <c r="D1827" s="26" t="e">
        <f>TRIM(INDEX(#REF!,MATCH(Composições!A1827,#REF!,0),1))</f>
        <v>#REF!</v>
      </c>
      <c r="E1827" s="27"/>
      <c r="F1827" s="42" t="s">
        <v>560</v>
      </c>
      <c r="G1827" s="28" t="str">
        <f t="shared" si="29"/>
        <v/>
      </c>
      <c r="H1827" s="29"/>
      <c r="I1827" s="30"/>
      <c r="J1827" s="155">
        <v>0</v>
      </c>
    </row>
    <row r="1828" spans="1:10" ht="15" hidden="1" thickBot="1" x14ac:dyDescent="0.35">
      <c r="A1828" s="229"/>
      <c r="B1828" s="224"/>
      <c r="C1828" s="32"/>
      <c r="D1828" s="32"/>
      <c r="E1828" s="33"/>
      <c r="F1828" s="43" t="s">
        <v>560</v>
      </c>
      <c r="G1828" s="31" t="str">
        <f t="shared" si="29"/>
        <v/>
      </c>
      <c r="H1828" s="35"/>
      <c r="I1828" s="31"/>
      <c r="J1828" s="155">
        <v>0</v>
      </c>
    </row>
    <row r="1829" spans="1:10" ht="15" hidden="1" thickBot="1" x14ac:dyDescent="0.35">
      <c r="A1829" s="229"/>
      <c r="B1829" s="224"/>
      <c r="C1829" s="36" t="s">
        <v>30</v>
      </c>
      <c r="D1829" s="36" t="s">
        <v>12</v>
      </c>
      <c r="E1829" s="37">
        <v>1</v>
      </c>
      <c r="F1829" s="31">
        <v>20.484999999999999</v>
      </c>
      <c r="G1829" s="34">
        <f t="shared" si="29"/>
        <v>20.484999999999999</v>
      </c>
      <c r="H1829" s="39">
        <f>SUM(G1829:G1831)</f>
        <v>36.414000000000001</v>
      </c>
      <c r="I1829" s="40"/>
      <c r="J1829" s="155">
        <v>0</v>
      </c>
    </row>
    <row r="1830" spans="1:10" ht="15" hidden="1" thickBot="1" x14ac:dyDescent="0.35">
      <c r="A1830" s="229"/>
      <c r="B1830" s="224"/>
      <c r="C1830" s="36" t="s">
        <v>74</v>
      </c>
      <c r="D1830" s="47" t="s">
        <v>12</v>
      </c>
      <c r="E1830" s="37">
        <v>1</v>
      </c>
      <c r="F1830" s="31">
        <v>15.928999999999998</v>
      </c>
      <c r="G1830" s="34">
        <f t="shared" si="29"/>
        <v>15.928999999999998</v>
      </c>
      <c r="H1830" s="35"/>
      <c r="I1830" s="31"/>
      <c r="J1830" s="155">
        <v>0</v>
      </c>
    </row>
    <row r="1831" spans="1:10" ht="27" hidden="1" thickBot="1" x14ac:dyDescent="0.35">
      <c r="A1831" s="229"/>
      <c r="B1831" s="224"/>
      <c r="C1831" s="36" t="s">
        <v>613</v>
      </c>
      <c r="D1831" s="36" t="s">
        <v>147</v>
      </c>
      <c r="E1831" s="37">
        <v>1</v>
      </c>
      <c r="F1831" s="34" t="s">
        <v>560</v>
      </c>
      <c r="G1831" s="34" t="str">
        <f t="shared" si="29"/>
        <v/>
      </c>
      <c r="H1831" s="35"/>
      <c r="I1831" s="31"/>
      <c r="J1831" s="155">
        <v>0</v>
      </c>
    </row>
    <row r="1832" spans="1:10" ht="15" hidden="1" thickBot="1" x14ac:dyDescent="0.35">
      <c r="A1832" s="230"/>
      <c r="B1832" s="225"/>
      <c r="C1832" s="36"/>
      <c r="D1832" s="36"/>
      <c r="E1832" s="37"/>
      <c r="F1832" s="31" t="s">
        <v>560</v>
      </c>
      <c r="G1832" s="31" t="str">
        <f t="shared" si="29"/>
        <v/>
      </c>
      <c r="H1832" s="35"/>
      <c r="I1832" s="31"/>
      <c r="J1832" s="155">
        <v>0</v>
      </c>
    </row>
    <row r="1833" spans="1:10" ht="15" hidden="1" thickBot="1" x14ac:dyDescent="0.35">
      <c r="A1833" s="226" t="s">
        <v>614</v>
      </c>
      <c r="B1833" s="223" t="e">
        <f>INDEX(#REF!,MATCH(Composições!A1833,#REF!,0),2)</f>
        <v>#REF!</v>
      </c>
      <c r="C1833" s="41"/>
      <c r="D1833" s="26" t="e">
        <f>TRIM(INDEX(#REF!,MATCH(Composições!A1833,#REF!,0),1))</f>
        <v>#REF!</v>
      </c>
      <c r="E1833" s="27"/>
      <c r="F1833" s="42" t="s">
        <v>560</v>
      </c>
      <c r="G1833" s="28" t="str">
        <f t="shared" si="29"/>
        <v/>
      </c>
      <c r="H1833" s="29"/>
      <c r="I1833" s="30"/>
      <c r="J1833" s="155">
        <v>0</v>
      </c>
    </row>
    <row r="1834" spans="1:10" ht="15" hidden="1" thickBot="1" x14ac:dyDescent="0.35">
      <c r="A1834" s="229"/>
      <c r="B1834" s="224"/>
      <c r="C1834" s="32"/>
      <c r="D1834" s="32"/>
      <c r="E1834" s="33"/>
      <c r="F1834" s="43" t="s">
        <v>560</v>
      </c>
      <c r="G1834" s="31" t="str">
        <f t="shared" si="29"/>
        <v/>
      </c>
      <c r="H1834" s="35"/>
      <c r="I1834" s="31"/>
      <c r="J1834" s="155">
        <v>0</v>
      </c>
    </row>
    <row r="1835" spans="1:10" ht="15" hidden="1" thickBot="1" x14ac:dyDescent="0.35">
      <c r="A1835" s="229"/>
      <c r="B1835" s="224"/>
      <c r="C1835" s="36" t="s">
        <v>615</v>
      </c>
      <c r="D1835" s="47" t="s">
        <v>42</v>
      </c>
      <c r="E1835" s="37">
        <v>6.6559999999999997</v>
      </c>
      <c r="F1835" s="34">
        <v>12.724500000000001</v>
      </c>
      <c r="G1835" s="34">
        <f t="shared" si="29"/>
        <v>84.694271999999998</v>
      </c>
      <c r="H1835" s="39">
        <f>SUM(G1835:G1838)</f>
        <v>223.70803199999997</v>
      </c>
      <c r="I1835" s="40"/>
      <c r="J1835" s="155">
        <v>0</v>
      </c>
    </row>
    <row r="1836" spans="1:10" ht="15" hidden="1" thickBot="1" x14ac:dyDescent="0.35">
      <c r="A1836" s="229"/>
      <c r="B1836" s="224"/>
      <c r="C1836" s="36" t="s">
        <v>616</v>
      </c>
      <c r="D1836" s="47" t="s">
        <v>617</v>
      </c>
      <c r="E1836" s="37">
        <v>1</v>
      </c>
      <c r="F1836" s="31">
        <v>0</v>
      </c>
      <c r="G1836" s="34">
        <f t="shared" si="29"/>
        <v>0</v>
      </c>
      <c r="H1836" s="45"/>
      <c r="I1836" s="46"/>
      <c r="J1836" s="155">
        <v>0</v>
      </c>
    </row>
    <row r="1837" spans="1:10" ht="15" hidden="1" thickBot="1" x14ac:dyDescent="0.35">
      <c r="A1837" s="229"/>
      <c r="B1837" s="224"/>
      <c r="C1837" s="36" t="s">
        <v>23</v>
      </c>
      <c r="D1837" s="47" t="s">
        <v>12</v>
      </c>
      <c r="E1837" s="37">
        <v>3.84</v>
      </c>
      <c r="F1837" s="31">
        <v>14.968499999999999</v>
      </c>
      <c r="G1837" s="34">
        <f t="shared" si="29"/>
        <v>57.479039999999991</v>
      </c>
      <c r="H1837" s="35"/>
      <c r="I1837" s="31"/>
      <c r="J1837" s="155">
        <v>0</v>
      </c>
    </row>
    <row r="1838" spans="1:10" ht="15" hidden="1" thickBot="1" x14ac:dyDescent="0.35">
      <c r="A1838" s="229"/>
      <c r="B1838" s="224"/>
      <c r="C1838" s="36" t="s">
        <v>608</v>
      </c>
      <c r="D1838" s="47" t="s">
        <v>12</v>
      </c>
      <c r="E1838" s="37">
        <v>3.84</v>
      </c>
      <c r="F1838" s="31">
        <v>21.233000000000001</v>
      </c>
      <c r="G1838" s="34">
        <f t="shared" si="29"/>
        <v>81.534719999999993</v>
      </c>
      <c r="H1838" s="35"/>
      <c r="I1838" s="31"/>
      <c r="J1838" s="155">
        <v>0</v>
      </c>
    </row>
    <row r="1839" spans="1:10" ht="15" hidden="1" thickBot="1" x14ac:dyDescent="0.35">
      <c r="A1839" s="230"/>
      <c r="B1839" s="225"/>
      <c r="C1839" s="36"/>
      <c r="D1839" s="36"/>
      <c r="E1839" s="37"/>
      <c r="F1839" s="31" t="s">
        <v>560</v>
      </c>
      <c r="G1839" s="31" t="str">
        <f t="shared" si="29"/>
        <v/>
      </c>
      <c r="H1839" s="35"/>
      <c r="I1839" s="31"/>
      <c r="J1839" s="155">
        <v>0</v>
      </c>
    </row>
    <row r="1840" spans="1:10" ht="15" hidden="1" thickBot="1" x14ac:dyDescent="0.35">
      <c r="A1840" s="226" t="s">
        <v>618</v>
      </c>
      <c r="B1840" s="223" t="e">
        <f>INDEX(#REF!,MATCH(Composições!A1840,#REF!,0),2)</f>
        <v>#REF!</v>
      </c>
      <c r="C1840" s="41"/>
      <c r="D1840" s="26" t="e">
        <f>TRIM(INDEX(#REF!,MATCH(Composições!A1840,#REF!,0),1))</f>
        <v>#REF!</v>
      </c>
      <c r="E1840" s="27"/>
      <c r="F1840" s="42" t="s">
        <v>560</v>
      </c>
      <c r="G1840" s="28" t="str">
        <f t="shared" si="29"/>
        <v/>
      </c>
      <c r="H1840" s="29"/>
      <c r="I1840" s="30"/>
      <c r="J1840" s="155">
        <v>0</v>
      </c>
    </row>
    <row r="1841" spans="1:10" ht="15" hidden="1" thickBot="1" x14ac:dyDescent="0.35">
      <c r="A1841" s="229"/>
      <c r="B1841" s="224"/>
      <c r="C1841" s="32"/>
      <c r="D1841" s="32"/>
      <c r="E1841" s="33"/>
      <c r="F1841" s="43" t="s">
        <v>560</v>
      </c>
      <c r="G1841" s="31" t="str">
        <f t="shared" si="29"/>
        <v/>
      </c>
      <c r="H1841" s="35"/>
      <c r="I1841" s="31"/>
      <c r="J1841" s="155">
        <v>0</v>
      </c>
    </row>
    <row r="1842" spans="1:10" ht="15" hidden="1" thickBot="1" x14ac:dyDescent="0.35">
      <c r="A1842" s="229"/>
      <c r="B1842" s="224"/>
      <c r="C1842" s="36" t="s">
        <v>23</v>
      </c>
      <c r="D1842" s="47" t="s">
        <v>12</v>
      </c>
      <c r="E1842" s="37">
        <v>0.4</v>
      </c>
      <c r="F1842" s="31">
        <v>14.968499999999999</v>
      </c>
      <c r="G1842" s="31">
        <f t="shared" si="29"/>
        <v>5.9874000000000001</v>
      </c>
      <c r="H1842" s="39">
        <f>SUM(G1842:G1844)</f>
        <v>14.480599999999999</v>
      </c>
      <c r="I1842" s="40"/>
      <c r="J1842" s="155">
        <v>0</v>
      </c>
    </row>
    <row r="1843" spans="1:10" ht="15" hidden="1" thickBot="1" x14ac:dyDescent="0.35">
      <c r="A1843" s="229"/>
      <c r="B1843" s="224"/>
      <c r="C1843" s="36" t="s">
        <v>608</v>
      </c>
      <c r="D1843" s="47" t="s">
        <v>12</v>
      </c>
      <c r="E1843" s="37">
        <v>0.4</v>
      </c>
      <c r="F1843" s="31">
        <v>21.233000000000001</v>
      </c>
      <c r="G1843" s="31">
        <f t="shared" si="29"/>
        <v>8.4931999999999999</v>
      </c>
      <c r="H1843" s="35"/>
      <c r="I1843" s="31"/>
      <c r="J1843" s="155">
        <v>0</v>
      </c>
    </row>
    <row r="1844" spans="1:10" ht="27" hidden="1" thickBot="1" x14ac:dyDescent="0.35">
      <c r="A1844" s="229"/>
      <c r="B1844" s="224"/>
      <c r="C1844" s="36" t="s">
        <v>619</v>
      </c>
      <c r="D1844" s="36" t="s">
        <v>93</v>
      </c>
      <c r="E1844" s="37">
        <v>1.05</v>
      </c>
      <c r="F1844" s="34" t="s">
        <v>560</v>
      </c>
      <c r="G1844" s="31" t="str">
        <f t="shared" si="29"/>
        <v/>
      </c>
      <c r="H1844" s="35"/>
      <c r="I1844" s="31"/>
      <c r="J1844" s="155">
        <v>0</v>
      </c>
    </row>
    <row r="1845" spans="1:10" ht="15" hidden="1" thickBot="1" x14ac:dyDescent="0.35">
      <c r="A1845" s="230"/>
      <c r="B1845" s="225"/>
      <c r="C1845" s="36"/>
      <c r="D1845" s="36"/>
      <c r="E1845" s="37"/>
      <c r="F1845" s="31" t="s">
        <v>560</v>
      </c>
      <c r="G1845" s="31" t="str">
        <f t="shared" si="29"/>
        <v/>
      </c>
      <c r="H1845" s="35"/>
      <c r="I1845" s="31"/>
      <c r="J1845" s="155">
        <v>0</v>
      </c>
    </row>
    <row r="1846" spans="1:10" ht="15" hidden="1" thickBot="1" x14ac:dyDescent="0.35">
      <c r="A1846" s="226" t="s">
        <v>620</v>
      </c>
      <c r="B1846" s="223" t="e">
        <f>INDEX(#REF!,MATCH(Composições!A1846,#REF!,0),2)</f>
        <v>#REF!</v>
      </c>
      <c r="C1846" s="41"/>
      <c r="D1846" s="26" t="e">
        <f>TRIM(INDEX(#REF!,MATCH(Composições!A1846,#REF!,0),1))</f>
        <v>#REF!</v>
      </c>
      <c r="E1846" s="27"/>
      <c r="F1846" s="42" t="s">
        <v>560</v>
      </c>
      <c r="G1846" s="28" t="str">
        <f t="shared" si="29"/>
        <v/>
      </c>
      <c r="H1846" s="29"/>
      <c r="I1846" s="30"/>
      <c r="J1846" s="155">
        <v>0</v>
      </c>
    </row>
    <row r="1847" spans="1:10" ht="15" hidden="1" thickBot="1" x14ac:dyDescent="0.35">
      <c r="A1847" s="229"/>
      <c r="B1847" s="224"/>
      <c r="C1847" s="32"/>
      <c r="D1847" s="32"/>
      <c r="E1847" s="33"/>
      <c r="F1847" s="43" t="s">
        <v>560</v>
      </c>
      <c r="G1847" s="31" t="str">
        <f t="shared" si="29"/>
        <v/>
      </c>
      <c r="H1847" s="35"/>
      <c r="I1847" s="31"/>
      <c r="J1847" s="155">
        <v>0</v>
      </c>
    </row>
    <row r="1848" spans="1:10" ht="15" hidden="1" thickBot="1" x14ac:dyDescent="0.35">
      <c r="A1848" s="229"/>
      <c r="B1848" s="224"/>
      <c r="C1848" s="36" t="s">
        <v>23</v>
      </c>
      <c r="D1848" s="47" t="s">
        <v>12</v>
      </c>
      <c r="E1848" s="37">
        <v>0.4</v>
      </c>
      <c r="F1848" s="31">
        <v>14.968499999999999</v>
      </c>
      <c r="G1848" s="31">
        <f t="shared" si="29"/>
        <v>5.9874000000000001</v>
      </c>
      <c r="H1848" s="39">
        <f>SUM(G1848:G1850)</f>
        <v>14.480599999999999</v>
      </c>
      <c r="I1848" s="40"/>
      <c r="J1848" s="155">
        <v>0</v>
      </c>
    </row>
    <row r="1849" spans="1:10" ht="15" hidden="1" thickBot="1" x14ac:dyDescent="0.35">
      <c r="A1849" s="229"/>
      <c r="B1849" s="224"/>
      <c r="C1849" s="36" t="s">
        <v>608</v>
      </c>
      <c r="D1849" s="47" t="s">
        <v>12</v>
      </c>
      <c r="E1849" s="37">
        <v>0.4</v>
      </c>
      <c r="F1849" s="31">
        <v>21.233000000000001</v>
      </c>
      <c r="G1849" s="31">
        <f t="shared" si="29"/>
        <v>8.4931999999999999</v>
      </c>
      <c r="H1849" s="35"/>
      <c r="I1849" s="31"/>
      <c r="J1849" s="155">
        <v>0</v>
      </c>
    </row>
    <row r="1850" spans="1:10" ht="27" hidden="1" thickBot="1" x14ac:dyDescent="0.35">
      <c r="A1850" s="229"/>
      <c r="B1850" s="224"/>
      <c r="C1850" s="36" t="s">
        <v>621</v>
      </c>
      <c r="D1850" s="36" t="s">
        <v>93</v>
      </c>
      <c r="E1850" s="37">
        <v>1.05</v>
      </c>
      <c r="F1850" s="34" t="s">
        <v>560</v>
      </c>
      <c r="G1850" s="31" t="str">
        <f t="shared" si="29"/>
        <v/>
      </c>
      <c r="H1850" s="35"/>
      <c r="I1850" s="31"/>
      <c r="J1850" s="155">
        <v>0</v>
      </c>
    </row>
    <row r="1851" spans="1:10" ht="15" hidden="1" thickBot="1" x14ac:dyDescent="0.35">
      <c r="A1851" s="230"/>
      <c r="B1851" s="225"/>
      <c r="C1851" s="36"/>
      <c r="D1851" s="36"/>
      <c r="E1851" s="37"/>
      <c r="F1851" s="31" t="s">
        <v>560</v>
      </c>
      <c r="G1851" s="31" t="str">
        <f t="shared" si="29"/>
        <v/>
      </c>
      <c r="H1851" s="35"/>
      <c r="I1851" s="31"/>
      <c r="J1851" s="155">
        <v>0</v>
      </c>
    </row>
    <row r="1852" spans="1:10" ht="15" hidden="1" thickBot="1" x14ac:dyDescent="0.35">
      <c r="A1852" s="226" t="s">
        <v>622</v>
      </c>
      <c r="B1852" s="223" t="e">
        <f>INDEX(#REF!,MATCH(Composições!A1852,#REF!,0),2)</f>
        <v>#REF!</v>
      </c>
      <c r="C1852" s="41"/>
      <c r="D1852" s="26" t="e">
        <f>TRIM(INDEX(#REF!,MATCH(Composições!A1852,#REF!,0),1))</f>
        <v>#REF!</v>
      </c>
      <c r="E1852" s="27"/>
      <c r="F1852" s="42" t="s">
        <v>560</v>
      </c>
      <c r="G1852" s="28" t="str">
        <f t="shared" si="29"/>
        <v/>
      </c>
      <c r="H1852" s="29"/>
      <c r="I1852" s="30"/>
      <c r="J1852" s="155">
        <v>0</v>
      </c>
    </row>
    <row r="1853" spans="1:10" ht="15" hidden="1" thickBot="1" x14ac:dyDescent="0.35">
      <c r="A1853" s="229"/>
      <c r="B1853" s="224"/>
      <c r="C1853" s="32"/>
      <c r="D1853" s="32"/>
      <c r="E1853" s="33"/>
      <c r="F1853" s="43" t="s">
        <v>560</v>
      </c>
      <c r="G1853" s="31" t="str">
        <f t="shared" si="29"/>
        <v/>
      </c>
      <c r="H1853" s="35"/>
      <c r="I1853" s="31"/>
      <c r="J1853" s="155">
        <v>0</v>
      </c>
    </row>
    <row r="1854" spans="1:10" ht="15" hidden="1" thickBot="1" x14ac:dyDescent="0.35">
      <c r="A1854" s="229"/>
      <c r="B1854" s="224"/>
      <c r="C1854" s="36" t="s">
        <v>52</v>
      </c>
      <c r="D1854" s="47" t="s">
        <v>12</v>
      </c>
      <c r="E1854" s="37">
        <v>2.5</v>
      </c>
      <c r="F1854" s="31">
        <v>16.013999999999999</v>
      </c>
      <c r="G1854" s="34">
        <f t="shared" si="29"/>
        <v>40.034999999999997</v>
      </c>
      <c r="H1854" s="39">
        <f>SUM(G1854:G1856)</f>
        <v>93.117500000000007</v>
      </c>
      <c r="I1854" s="40"/>
      <c r="J1854" s="155">
        <v>0</v>
      </c>
    </row>
    <row r="1855" spans="1:10" ht="15" hidden="1" thickBot="1" x14ac:dyDescent="0.35">
      <c r="A1855" s="229"/>
      <c r="B1855" s="224"/>
      <c r="C1855" s="36" t="s">
        <v>608</v>
      </c>
      <c r="D1855" s="47" t="s">
        <v>12</v>
      </c>
      <c r="E1855" s="37">
        <v>2.5</v>
      </c>
      <c r="F1855" s="31">
        <v>21.233000000000001</v>
      </c>
      <c r="G1855" s="34">
        <f t="shared" si="29"/>
        <v>53.082500000000003</v>
      </c>
      <c r="H1855" s="35"/>
      <c r="I1855" s="31"/>
      <c r="J1855" s="155">
        <v>0</v>
      </c>
    </row>
    <row r="1856" spans="1:10" ht="27" hidden="1" thickBot="1" x14ac:dyDescent="0.35">
      <c r="A1856" s="229"/>
      <c r="B1856" s="224"/>
      <c r="C1856" s="36" t="s">
        <v>623</v>
      </c>
      <c r="D1856" s="36" t="s">
        <v>147</v>
      </c>
      <c r="E1856" s="37">
        <v>1</v>
      </c>
      <c r="F1856" s="34" t="s">
        <v>560</v>
      </c>
      <c r="G1856" s="34" t="str">
        <f t="shared" si="29"/>
        <v/>
      </c>
      <c r="H1856" s="35"/>
      <c r="I1856" s="31"/>
      <c r="J1856" s="155">
        <v>0</v>
      </c>
    </row>
    <row r="1857" spans="1:10" ht="15" hidden="1" thickBot="1" x14ac:dyDescent="0.35">
      <c r="A1857" s="230"/>
      <c r="B1857" s="225"/>
      <c r="C1857" s="36"/>
      <c r="D1857" s="36"/>
      <c r="E1857" s="37"/>
      <c r="F1857" s="31" t="s">
        <v>560</v>
      </c>
      <c r="G1857" s="31" t="str">
        <f t="shared" si="29"/>
        <v/>
      </c>
      <c r="H1857" s="35"/>
      <c r="I1857" s="31"/>
      <c r="J1857" s="155">
        <v>0</v>
      </c>
    </row>
    <row r="1858" spans="1:10" ht="15" hidden="1" thickBot="1" x14ac:dyDescent="0.35">
      <c r="A1858" s="226" t="s">
        <v>624</v>
      </c>
      <c r="B1858" s="223" t="e">
        <f>INDEX(#REF!,MATCH(Composições!A1858,#REF!,0),2)</f>
        <v>#REF!</v>
      </c>
      <c r="C1858" s="41"/>
      <c r="D1858" s="26" t="e">
        <f>TRIM(INDEX(#REF!,MATCH(Composições!A1858,#REF!,0),1))</f>
        <v>#REF!</v>
      </c>
      <c r="E1858" s="27"/>
      <c r="F1858" s="42" t="s">
        <v>560</v>
      </c>
      <c r="G1858" s="28" t="str">
        <f t="shared" si="29"/>
        <v/>
      </c>
      <c r="H1858" s="29"/>
      <c r="I1858" s="30"/>
      <c r="J1858" s="155">
        <v>0</v>
      </c>
    </row>
    <row r="1859" spans="1:10" ht="15" hidden="1" thickBot="1" x14ac:dyDescent="0.35">
      <c r="A1859" s="229"/>
      <c r="B1859" s="224"/>
      <c r="C1859" s="32"/>
      <c r="D1859" s="32"/>
      <c r="E1859" s="33"/>
      <c r="F1859" s="43" t="s">
        <v>560</v>
      </c>
      <c r="G1859" s="31" t="str">
        <f t="shared" si="29"/>
        <v/>
      </c>
      <c r="H1859" s="35"/>
      <c r="I1859" s="31"/>
      <c r="J1859" s="155">
        <v>0</v>
      </c>
    </row>
    <row r="1860" spans="1:10" ht="15" hidden="1" thickBot="1" x14ac:dyDescent="0.35">
      <c r="A1860" s="229"/>
      <c r="B1860" s="224"/>
      <c r="C1860" s="36" t="s">
        <v>52</v>
      </c>
      <c r="D1860" s="47" t="s">
        <v>12</v>
      </c>
      <c r="E1860" s="37">
        <v>2.5</v>
      </c>
      <c r="F1860" s="31">
        <v>16.013999999999999</v>
      </c>
      <c r="G1860" s="34">
        <f t="shared" si="29"/>
        <v>40.034999999999997</v>
      </c>
      <c r="H1860" s="39">
        <f>SUM(G1860:G1862)</f>
        <v>93.117500000000007</v>
      </c>
      <c r="I1860" s="40"/>
      <c r="J1860" s="155">
        <v>0</v>
      </c>
    </row>
    <row r="1861" spans="1:10" ht="15" hidden="1" thickBot="1" x14ac:dyDescent="0.35">
      <c r="A1861" s="229"/>
      <c r="B1861" s="224"/>
      <c r="C1861" s="36" t="s">
        <v>608</v>
      </c>
      <c r="D1861" s="47" t="s">
        <v>12</v>
      </c>
      <c r="E1861" s="37">
        <v>2.5</v>
      </c>
      <c r="F1861" s="31">
        <v>21.233000000000001</v>
      </c>
      <c r="G1861" s="34">
        <f t="shared" si="29"/>
        <v>53.082500000000003</v>
      </c>
      <c r="H1861" s="35"/>
      <c r="I1861" s="31"/>
      <c r="J1861" s="155">
        <v>0</v>
      </c>
    </row>
    <row r="1862" spans="1:10" ht="27" hidden="1" thickBot="1" x14ac:dyDescent="0.35">
      <c r="A1862" s="229"/>
      <c r="B1862" s="224"/>
      <c r="C1862" s="36" t="s">
        <v>625</v>
      </c>
      <c r="D1862" s="36" t="s">
        <v>147</v>
      </c>
      <c r="E1862" s="37">
        <v>1</v>
      </c>
      <c r="F1862" s="34" t="s">
        <v>560</v>
      </c>
      <c r="G1862" s="34" t="str">
        <f t="shared" si="29"/>
        <v/>
      </c>
      <c r="H1862" s="35"/>
      <c r="I1862" s="31"/>
      <c r="J1862" s="155">
        <v>0</v>
      </c>
    </row>
    <row r="1863" spans="1:10" ht="15" hidden="1" thickBot="1" x14ac:dyDescent="0.35">
      <c r="A1863" s="230"/>
      <c r="B1863" s="225"/>
      <c r="C1863" s="36"/>
      <c r="D1863" s="36"/>
      <c r="E1863" s="37"/>
      <c r="F1863" s="31" t="s">
        <v>560</v>
      </c>
      <c r="G1863" s="31" t="str">
        <f t="shared" si="29"/>
        <v/>
      </c>
      <c r="H1863" s="35"/>
      <c r="I1863" s="31"/>
      <c r="J1863" s="155">
        <v>0</v>
      </c>
    </row>
    <row r="1864" spans="1:10" ht="15" hidden="1" thickBot="1" x14ac:dyDescent="0.35">
      <c r="A1864" s="226" t="s">
        <v>626</v>
      </c>
      <c r="B1864" s="223" t="e">
        <f>INDEX(#REF!,MATCH(Composições!A1864,#REF!,0),2)</f>
        <v>#REF!</v>
      </c>
      <c r="C1864" s="41"/>
      <c r="D1864" s="26" t="e">
        <f>TRIM(INDEX(#REF!,MATCH(Composições!A1864,#REF!,0),1))</f>
        <v>#REF!</v>
      </c>
      <c r="E1864" s="27"/>
      <c r="F1864" s="42" t="s">
        <v>560</v>
      </c>
      <c r="G1864" s="28" t="str">
        <f t="shared" si="29"/>
        <v/>
      </c>
      <c r="H1864" s="29"/>
      <c r="I1864" s="30"/>
      <c r="J1864" s="155">
        <v>0</v>
      </c>
    </row>
    <row r="1865" spans="1:10" ht="15" hidden="1" thickBot="1" x14ac:dyDescent="0.35">
      <c r="A1865" s="229"/>
      <c r="B1865" s="224"/>
      <c r="C1865" s="32"/>
      <c r="D1865" s="32"/>
      <c r="E1865" s="33"/>
      <c r="F1865" s="43" t="s">
        <v>560</v>
      </c>
      <c r="G1865" s="31" t="str">
        <f t="shared" si="29"/>
        <v/>
      </c>
      <c r="H1865" s="35"/>
      <c r="I1865" s="31"/>
      <c r="J1865" s="155">
        <v>0</v>
      </c>
    </row>
    <row r="1866" spans="1:10" ht="15" hidden="1" thickBot="1" x14ac:dyDescent="0.35">
      <c r="A1866" s="229"/>
      <c r="B1866" s="224"/>
      <c r="C1866" s="36" t="s">
        <v>52</v>
      </c>
      <c r="D1866" s="47" t="s">
        <v>12</v>
      </c>
      <c r="E1866" s="37">
        <v>2.5</v>
      </c>
      <c r="F1866" s="31">
        <v>16.013999999999999</v>
      </c>
      <c r="G1866" s="34">
        <f t="shared" si="29"/>
        <v>40.034999999999997</v>
      </c>
      <c r="H1866" s="39">
        <f>SUM(G1866:G1868)</f>
        <v>93.117500000000007</v>
      </c>
      <c r="I1866" s="40"/>
      <c r="J1866" s="155">
        <v>0</v>
      </c>
    </row>
    <row r="1867" spans="1:10" ht="15" hidden="1" thickBot="1" x14ac:dyDescent="0.35">
      <c r="A1867" s="229"/>
      <c r="B1867" s="224"/>
      <c r="C1867" s="36" t="s">
        <v>608</v>
      </c>
      <c r="D1867" s="47" t="s">
        <v>12</v>
      </c>
      <c r="E1867" s="37">
        <v>2.5</v>
      </c>
      <c r="F1867" s="31">
        <v>21.233000000000001</v>
      </c>
      <c r="G1867" s="34">
        <f t="shared" si="29"/>
        <v>53.082500000000003</v>
      </c>
      <c r="H1867" s="35"/>
      <c r="I1867" s="31"/>
      <c r="J1867" s="155">
        <v>0</v>
      </c>
    </row>
    <row r="1868" spans="1:10" ht="27" hidden="1" thickBot="1" x14ac:dyDescent="0.35">
      <c r="A1868" s="229"/>
      <c r="B1868" s="224"/>
      <c r="C1868" s="36" t="s">
        <v>627</v>
      </c>
      <c r="D1868" s="36" t="s">
        <v>147</v>
      </c>
      <c r="E1868" s="37">
        <v>1</v>
      </c>
      <c r="F1868" s="34" t="s">
        <v>560</v>
      </c>
      <c r="G1868" s="34" t="str">
        <f t="shared" si="29"/>
        <v/>
      </c>
      <c r="H1868" s="35"/>
      <c r="I1868" s="31"/>
      <c r="J1868" s="155">
        <v>0</v>
      </c>
    </row>
    <row r="1869" spans="1:10" ht="15" hidden="1" thickBot="1" x14ac:dyDescent="0.35">
      <c r="A1869" s="230"/>
      <c r="B1869" s="225"/>
      <c r="C1869" s="36"/>
      <c r="D1869" s="36"/>
      <c r="E1869" s="37"/>
      <c r="F1869" s="31" t="s">
        <v>560</v>
      </c>
      <c r="G1869" s="31" t="str">
        <f t="shared" si="29"/>
        <v/>
      </c>
      <c r="H1869" s="35"/>
      <c r="I1869" s="31"/>
      <c r="J1869" s="155">
        <v>0</v>
      </c>
    </row>
    <row r="1870" spans="1:10" ht="15" hidden="1" thickBot="1" x14ac:dyDescent="0.35">
      <c r="A1870" s="226" t="s">
        <v>628</v>
      </c>
      <c r="B1870" s="223" t="e">
        <f>INDEX(#REF!,MATCH(Composições!A1870,#REF!,0),2)</f>
        <v>#REF!</v>
      </c>
      <c r="C1870" s="41"/>
      <c r="D1870" s="26" t="e">
        <f>TRIM(INDEX(#REF!,MATCH(Composições!A1870,#REF!,0),1))</f>
        <v>#REF!</v>
      </c>
      <c r="E1870" s="27"/>
      <c r="F1870" s="42" t="s">
        <v>560</v>
      </c>
      <c r="G1870" s="28" t="str">
        <f t="shared" si="29"/>
        <v/>
      </c>
      <c r="H1870" s="29"/>
      <c r="I1870" s="30"/>
      <c r="J1870" s="155">
        <v>0</v>
      </c>
    </row>
    <row r="1871" spans="1:10" ht="15" hidden="1" thickBot="1" x14ac:dyDescent="0.35">
      <c r="A1871" s="229"/>
      <c r="B1871" s="224"/>
      <c r="C1871" s="32"/>
      <c r="D1871" s="32"/>
      <c r="E1871" s="33"/>
      <c r="F1871" s="43" t="s">
        <v>560</v>
      </c>
      <c r="G1871" s="31" t="str">
        <f t="shared" si="29"/>
        <v/>
      </c>
      <c r="H1871" s="35"/>
      <c r="I1871" s="31"/>
      <c r="J1871" s="155">
        <v>0</v>
      </c>
    </row>
    <row r="1872" spans="1:10" ht="15" hidden="1" thickBot="1" x14ac:dyDescent="0.35">
      <c r="A1872" s="229"/>
      <c r="B1872" s="224"/>
      <c r="C1872" s="36" t="s">
        <v>52</v>
      </c>
      <c r="D1872" s="47" t="s">
        <v>12</v>
      </c>
      <c r="E1872" s="37">
        <v>2.5</v>
      </c>
      <c r="F1872" s="31">
        <v>16.013999999999999</v>
      </c>
      <c r="G1872" s="34">
        <f t="shared" si="29"/>
        <v>40.034999999999997</v>
      </c>
      <c r="H1872" s="39">
        <f>SUM(G1872:G1874)</f>
        <v>93.117500000000007</v>
      </c>
      <c r="I1872" s="40"/>
      <c r="J1872" s="155">
        <v>0</v>
      </c>
    </row>
    <row r="1873" spans="1:10" ht="15" hidden="1" thickBot="1" x14ac:dyDescent="0.35">
      <c r="A1873" s="229"/>
      <c r="B1873" s="224"/>
      <c r="C1873" s="36" t="s">
        <v>608</v>
      </c>
      <c r="D1873" s="47" t="s">
        <v>12</v>
      </c>
      <c r="E1873" s="37">
        <v>2.5</v>
      </c>
      <c r="F1873" s="31">
        <v>21.233000000000001</v>
      </c>
      <c r="G1873" s="34">
        <f t="shared" si="29"/>
        <v>53.082500000000003</v>
      </c>
      <c r="H1873" s="35"/>
      <c r="I1873" s="31"/>
      <c r="J1873" s="155">
        <v>0</v>
      </c>
    </row>
    <row r="1874" spans="1:10" ht="40.200000000000003" hidden="1" thickBot="1" x14ac:dyDescent="0.35">
      <c r="A1874" s="229"/>
      <c r="B1874" s="224"/>
      <c r="C1874" s="36" t="s">
        <v>629</v>
      </c>
      <c r="D1874" s="36" t="s">
        <v>147</v>
      </c>
      <c r="E1874" s="37">
        <v>1</v>
      </c>
      <c r="F1874" s="34" t="s">
        <v>560</v>
      </c>
      <c r="G1874" s="34" t="str">
        <f t="shared" ref="G1874:G1937" si="30">IF(ISNUMBER(F1874),E1874*F1874,"")</f>
        <v/>
      </c>
      <c r="H1874" s="35"/>
      <c r="I1874" s="31"/>
      <c r="J1874" s="155">
        <v>0</v>
      </c>
    </row>
    <row r="1875" spans="1:10" ht="15" hidden="1" thickBot="1" x14ac:dyDescent="0.35">
      <c r="A1875" s="230"/>
      <c r="B1875" s="225"/>
      <c r="C1875" s="36"/>
      <c r="D1875" s="36"/>
      <c r="E1875" s="37"/>
      <c r="F1875" s="31" t="s">
        <v>560</v>
      </c>
      <c r="G1875" s="31" t="str">
        <f t="shared" si="30"/>
        <v/>
      </c>
      <c r="H1875" s="35"/>
      <c r="I1875" s="31"/>
      <c r="J1875" s="155">
        <v>0</v>
      </c>
    </row>
    <row r="1876" spans="1:10" ht="15" hidden="1" thickBot="1" x14ac:dyDescent="0.35">
      <c r="A1876" s="226" t="s">
        <v>630</v>
      </c>
      <c r="B1876" s="223" t="e">
        <f>INDEX(#REF!,MATCH(Composições!A1876,#REF!,0),2)</f>
        <v>#REF!</v>
      </c>
      <c r="C1876" s="41"/>
      <c r="D1876" s="26" t="e">
        <f>TRIM(INDEX(#REF!,MATCH(Composições!A1876,#REF!,0),1))</f>
        <v>#REF!</v>
      </c>
      <c r="E1876" s="27"/>
      <c r="F1876" s="42" t="s">
        <v>560</v>
      </c>
      <c r="G1876" s="28" t="str">
        <f t="shared" si="30"/>
        <v/>
      </c>
      <c r="H1876" s="29"/>
      <c r="I1876" s="30"/>
      <c r="J1876" s="155">
        <v>0</v>
      </c>
    </row>
    <row r="1877" spans="1:10" ht="15" hidden="1" thickBot="1" x14ac:dyDescent="0.35">
      <c r="A1877" s="229"/>
      <c r="B1877" s="224"/>
      <c r="C1877" s="32"/>
      <c r="D1877" s="32"/>
      <c r="E1877" s="33"/>
      <c r="F1877" s="43" t="s">
        <v>560</v>
      </c>
      <c r="G1877" s="31" t="str">
        <f t="shared" si="30"/>
        <v/>
      </c>
      <c r="H1877" s="35"/>
      <c r="I1877" s="31"/>
      <c r="J1877" s="155">
        <v>0</v>
      </c>
    </row>
    <row r="1878" spans="1:10" ht="15" hidden="1" thickBot="1" x14ac:dyDescent="0.35">
      <c r="A1878" s="229"/>
      <c r="B1878" s="224"/>
      <c r="C1878" s="36" t="s">
        <v>52</v>
      </c>
      <c r="D1878" s="47" t="s">
        <v>12</v>
      </c>
      <c r="E1878" s="37">
        <v>2.5</v>
      </c>
      <c r="F1878" s="31">
        <v>16.013999999999999</v>
      </c>
      <c r="G1878" s="34">
        <f t="shared" si="30"/>
        <v>40.034999999999997</v>
      </c>
      <c r="H1878" s="39">
        <f>SUM(G1878:G1880)</f>
        <v>93.117500000000007</v>
      </c>
      <c r="I1878" s="40"/>
      <c r="J1878" s="155">
        <v>0</v>
      </c>
    </row>
    <row r="1879" spans="1:10" ht="15" hidden="1" thickBot="1" x14ac:dyDescent="0.35">
      <c r="A1879" s="229"/>
      <c r="B1879" s="224"/>
      <c r="C1879" s="36" t="s">
        <v>608</v>
      </c>
      <c r="D1879" s="47" t="s">
        <v>12</v>
      </c>
      <c r="E1879" s="37">
        <v>2.5</v>
      </c>
      <c r="F1879" s="31">
        <v>21.233000000000001</v>
      </c>
      <c r="G1879" s="34">
        <f t="shared" si="30"/>
        <v>53.082500000000003</v>
      </c>
      <c r="H1879" s="35"/>
      <c r="I1879" s="31"/>
      <c r="J1879" s="155">
        <v>0</v>
      </c>
    </row>
    <row r="1880" spans="1:10" ht="53.4" hidden="1" thickBot="1" x14ac:dyDescent="0.35">
      <c r="A1880" s="229"/>
      <c r="B1880" s="224"/>
      <c r="C1880" s="36" t="s">
        <v>631</v>
      </c>
      <c r="D1880" s="36" t="s">
        <v>147</v>
      </c>
      <c r="E1880" s="37">
        <v>1</v>
      </c>
      <c r="F1880" s="34" t="s">
        <v>560</v>
      </c>
      <c r="G1880" s="34" t="str">
        <f t="shared" si="30"/>
        <v/>
      </c>
      <c r="H1880" s="35"/>
      <c r="I1880" s="31"/>
      <c r="J1880" s="155">
        <v>0</v>
      </c>
    </row>
    <row r="1881" spans="1:10" ht="15" hidden="1" thickBot="1" x14ac:dyDescent="0.35">
      <c r="A1881" s="230"/>
      <c r="B1881" s="225"/>
      <c r="C1881" s="36"/>
      <c r="D1881" s="36"/>
      <c r="E1881" s="37"/>
      <c r="F1881" s="31" t="s">
        <v>560</v>
      </c>
      <c r="G1881" s="31" t="str">
        <f t="shared" si="30"/>
        <v/>
      </c>
      <c r="H1881" s="35"/>
      <c r="I1881" s="31"/>
      <c r="J1881" s="155">
        <v>0</v>
      </c>
    </row>
    <row r="1882" spans="1:10" ht="15" hidden="1" thickBot="1" x14ac:dyDescent="0.35">
      <c r="A1882" s="226" t="s">
        <v>632</v>
      </c>
      <c r="B1882" s="223" t="e">
        <f>INDEX(#REF!,MATCH(Composições!A1882,#REF!,0),2)</f>
        <v>#REF!</v>
      </c>
      <c r="C1882" s="41"/>
      <c r="D1882" s="26" t="e">
        <f>TRIM(INDEX(#REF!,MATCH(Composições!A1882,#REF!,0),1))</f>
        <v>#REF!</v>
      </c>
      <c r="E1882" s="27"/>
      <c r="F1882" s="42" t="s">
        <v>560</v>
      </c>
      <c r="G1882" s="28" t="str">
        <f t="shared" si="30"/>
        <v/>
      </c>
      <c r="H1882" s="29"/>
      <c r="I1882" s="30"/>
      <c r="J1882" s="155">
        <v>0</v>
      </c>
    </row>
    <row r="1883" spans="1:10" ht="15" hidden="1" thickBot="1" x14ac:dyDescent="0.35">
      <c r="A1883" s="229"/>
      <c r="B1883" s="224"/>
      <c r="C1883" s="32"/>
      <c r="D1883" s="32"/>
      <c r="E1883" s="33"/>
      <c r="F1883" s="43" t="s">
        <v>560</v>
      </c>
      <c r="G1883" s="31" t="str">
        <f t="shared" si="30"/>
        <v/>
      </c>
      <c r="H1883" s="35"/>
      <c r="I1883" s="31"/>
      <c r="J1883" s="155">
        <v>0</v>
      </c>
    </row>
    <row r="1884" spans="1:10" ht="15" hidden="1" thickBot="1" x14ac:dyDescent="0.35">
      <c r="A1884" s="229"/>
      <c r="B1884" s="224"/>
      <c r="C1884" s="36" t="s">
        <v>52</v>
      </c>
      <c r="D1884" s="47" t="s">
        <v>12</v>
      </c>
      <c r="E1884" s="37">
        <v>2.5</v>
      </c>
      <c r="F1884" s="31">
        <v>16.013999999999999</v>
      </c>
      <c r="G1884" s="34">
        <f t="shared" si="30"/>
        <v>40.034999999999997</v>
      </c>
      <c r="H1884" s="39">
        <f>SUM(G1884:G1886)</f>
        <v>93.117500000000007</v>
      </c>
      <c r="I1884" s="40"/>
      <c r="J1884" s="155">
        <v>0</v>
      </c>
    </row>
    <row r="1885" spans="1:10" ht="15" hidden="1" thickBot="1" x14ac:dyDescent="0.35">
      <c r="A1885" s="229"/>
      <c r="B1885" s="224"/>
      <c r="C1885" s="36" t="s">
        <v>608</v>
      </c>
      <c r="D1885" s="47" t="s">
        <v>12</v>
      </c>
      <c r="E1885" s="37">
        <v>2.5</v>
      </c>
      <c r="F1885" s="31">
        <v>21.233000000000001</v>
      </c>
      <c r="G1885" s="34">
        <f t="shared" si="30"/>
        <v>53.082500000000003</v>
      </c>
      <c r="H1885" s="35"/>
      <c r="I1885" s="31"/>
      <c r="J1885" s="155">
        <v>0</v>
      </c>
    </row>
    <row r="1886" spans="1:10" ht="27" hidden="1" thickBot="1" x14ac:dyDescent="0.35">
      <c r="A1886" s="229"/>
      <c r="B1886" s="224"/>
      <c r="C1886" s="36" t="s">
        <v>633</v>
      </c>
      <c r="D1886" s="36" t="s">
        <v>147</v>
      </c>
      <c r="E1886" s="37">
        <v>1</v>
      </c>
      <c r="F1886" s="34" t="s">
        <v>560</v>
      </c>
      <c r="G1886" s="34" t="str">
        <f t="shared" si="30"/>
        <v/>
      </c>
      <c r="H1886" s="35"/>
      <c r="I1886" s="31"/>
      <c r="J1886" s="155">
        <v>0</v>
      </c>
    </row>
    <row r="1887" spans="1:10" ht="15" hidden="1" thickBot="1" x14ac:dyDescent="0.35">
      <c r="A1887" s="230"/>
      <c r="B1887" s="225"/>
      <c r="C1887" s="36"/>
      <c r="D1887" s="36"/>
      <c r="E1887" s="37"/>
      <c r="F1887" s="31" t="s">
        <v>560</v>
      </c>
      <c r="G1887" s="31" t="str">
        <f t="shared" si="30"/>
        <v/>
      </c>
      <c r="H1887" s="35"/>
      <c r="I1887" s="31"/>
      <c r="J1887" s="155">
        <v>0</v>
      </c>
    </row>
    <row r="1888" spans="1:10" ht="15" hidden="1" thickBot="1" x14ac:dyDescent="0.35">
      <c r="A1888" s="226" t="s">
        <v>634</v>
      </c>
      <c r="B1888" s="223" t="e">
        <f>INDEX(#REF!,MATCH(Composições!A1888,#REF!,0),2)</f>
        <v>#REF!</v>
      </c>
      <c r="C1888" s="41"/>
      <c r="D1888" s="26" t="e">
        <f>TRIM(INDEX(#REF!,MATCH(Composições!A1888,#REF!,0),1))</f>
        <v>#REF!</v>
      </c>
      <c r="E1888" s="27"/>
      <c r="F1888" s="42" t="s">
        <v>560</v>
      </c>
      <c r="G1888" s="28" t="str">
        <f t="shared" si="30"/>
        <v/>
      </c>
      <c r="H1888" s="29"/>
      <c r="I1888" s="30"/>
      <c r="J1888" s="155">
        <v>0</v>
      </c>
    </row>
    <row r="1889" spans="1:10" ht="15" hidden="1" thickBot="1" x14ac:dyDescent="0.35">
      <c r="A1889" s="229"/>
      <c r="B1889" s="224"/>
      <c r="C1889" s="32"/>
      <c r="D1889" s="32"/>
      <c r="E1889" s="33"/>
      <c r="F1889" s="43" t="s">
        <v>560</v>
      </c>
      <c r="G1889" s="31" t="str">
        <f t="shared" si="30"/>
        <v/>
      </c>
      <c r="H1889" s="35"/>
      <c r="I1889" s="31"/>
      <c r="J1889" s="155">
        <v>0</v>
      </c>
    </row>
    <row r="1890" spans="1:10" ht="15" hidden="1" thickBot="1" x14ac:dyDescent="0.35">
      <c r="A1890" s="229"/>
      <c r="B1890" s="224"/>
      <c r="C1890" s="36" t="s">
        <v>52</v>
      </c>
      <c r="D1890" s="47" t="s">
        <v>12</v>
      </c>
      <c r="E1890" s="37">
        <v>2.5</v>
      </c>
      <c r="F1890" s="31">
        <v>16.013999999999999</v>
      </c>
      <c r="G1890" s="34">
        <f t="shared" si="30"/>
        <v>40.034999999999997</v>
      </c>
      <c r="H1890" s="39">
        <f>SUM(G1890:G1892)</f>
        <v>93.117500000000007</v>
      </c>
      <c r="I1890" s="40"/>
      <c r="J1890" s="155">
        <v>0</v>
      </c>
    </row>
    <row r="1891" spans="1:10" ht="15" hidden="1" thickBot="1" x14ac:dyDescent="0.35">
      <c r="A1891" s="229"/>
      <c r="B1891" s="224"/>
      <c r="C1891" s="36" t="s">
        <v>608</v>
      </c>
      <c r="D1891" s="47" t="s">
        <v>12</v>
      </c>
      <c r="E1891" s="37">
        <v>2.5</v>
      </c>
      <c r="F1891" s="31">
        <v>21.233000000000001</v>
      </c>
      <c r="G1891" s="34">
        <f t="shared" si="30"/>
        <v>53.082500000000003</v>
      </c>
      <c r="H1891" s="35"/>
      <c r="I1891" s="31"/>
      <c r="J1891" s="155">
        <v>0</v>
      </c>
    </row>
    <row r="1892" spans="1:10" ht="40.200000000000003" hidden="1" thickBot="1" x14ac:dyDescent="0.35">
      <c r="A1892" s="229"/>
      <c r="B1892" s="224"/>
      <c r="C1892" s="36" t="s">
        <v>635</v>
      </c>
      <c r="D1892" s="36" t="s">
        <v>147</v>
      </c>
      <c r="E1892" s="37">
        <v>1</v>
      </c>
      <c r="F1892" s="34" t="s">
        <v>560</v>
      </c>
      <c r="G1892" s="34" t="str">
        <f t="shared" si="30"/>
        <v/>
      </c>
      <c r="H1892" s="35"/>
      <c r="I1892" s="31"/>
      <c r="J1892" s="155">
        <v>0</v>
      </c>
    </row>
    <row r="1893" spans="1:10" ht="15" hidden="1" thickBot="1" x14ac:dyDescent="0.35">
      <c r="A1893" s="230"/>
      <c r="B1893" s="225"/>
      <c r="C1893" s="36"/>
      <c r="D1893" s="36"/>
      <c r="E1893" s="37"/>
      <c r="F1893" s="31" t="s">
        <v>560</v>
      </c>
      <c r="G1893" s="31" t="str">
        <f t="shared" si="30"/>
        <v/>
      </c>
      <c r="H1893" s="35"/>
      <c r="I1893" s="31"/>
      <c r="J1893" s="155">
        <v>0</v>
      </c>
    </row>
    <row r="1894" spans="1:10" ht="15" hidden="1" thickBot="1" x14ac:dyDescent="0.35">
      <c r="A1894" s="226" t="s">
        <v>636</v>
      </c>
      <c r="B1894" s="223" t="e">
        <f>INDEX(#REF!,MATCH(Composições!A1894,#REF!,0),2)</f>
        <v>#REF!</v>
      </c>
      <c r="C1894" s="41"/>
      <c r="D1894" s="26" t="e">
        <f>TRIM(INDEX(#REF!,MATCH(Composições!A1894,#REF!,0),1))</f>
        <v>#REF!</v>
      </c>
      <c r="E1894" s="27"/>
      <c r="F1894" s="42" t="s">
        <v>560</v>
      </c>
      <c r="G1894" s="28" t="str">
        <f t="shared" si="30"/>
        <v/>
      </c>
      <c r="H1894" s="29"/>
      <c r="I1894" s="30"/>
      <c r="J1894" s="155">
        <v>0</v>
      </c>
    </row>
    <row r="1895" spans="1:10" ht="15" hidden="1" thickBot="1" x14ac:dyDescent="0.35">
      <c r="A1895" s="229"/>
      <c r="B1895" s="224"/>
      <c r="C1895" s="32"/>
      <c r="D1895" s="32"/>
      <c r="E1895" s="33"/>
      <c r="F1895" s="43" t="s">
        <v>560</v>
      </c>
      <c r="G1895" s="31" t="str">
        <f t="shared" si="30"/>
        <v/>
      </c>
      <c r="H1895" s="35"/>
      <c r="I1895" s="31"/>
      <c r="J1895" s="155">
        <v>0</v>
      </c>
    </row>
    <row r="1896" spans="1:10" ht="15" hidden="1" thickBot="1" x14ac:dyDescent="0.35">
      <c r="A1896" s="229"/>
      <c r="B1896" s="224"/>
      <c r="C1896" s="36" t="s">
        <v>52</v>
      </c>
      <c r="D1896" s="47" t="s">
        <v>12</v>
      </c>
      <c r="E1896" s="37">
        <v>2.5</v>
      </c>
      <c r="F1896" s="31">
        <v>16.013999999999999</v>
      </c>
      <c r="G1896" s="31">
        <f t="shared" si="30"/>
        <v>40.034999999999997</v>
      </c>
      <c r="H1896" s="39">
        <f>SUM(G1896:G1898)</f>
        <v>93.117500000000007</v>
      </c>
      <c r="I1896" s="40"/>
      <c r="J1896" s="155">
        <v>0</v>
      </c>
    </row>
    <row r="1897" spans="1:10" ht="15" hidden="1" thickBot="1" x14ac:dyDescent="0.35">
      <c r="A1897" s="229"/>
      <c r="B1897" s="224"/>
      <c r="C1897" s="36" t="s">
        <v>608</v>
      </c>
      <c r="D1897" s="47" t="s">
        <v>12</v>
      </c>
      <c r="E1897" s="37">
        <v>2.5</v>
      </c>
      <c r="F1897" s="31">
        <v>21.233000000000001</v>
      </c>
      <c r="G1897" s="31">
        <f t="shared" si="30"/>
        <v>53.082500000000003</v>
      </c>
      <c r="H1897" s="35"/>
      <c r="I1897" s="31"/>
      <c r="J1897" s="155">
        <v>0</v>
      </c>
    </row>
    <row r="1898" spans="1:10" ht="40.200000000000003" hidden="1" thickBot="1" x14ac:dyDescent="0.35">
      <c r="A1898" s="229"/>
      <c r="B1898" s="224"/>
      <c r="C1898" s="36" t="s">
        <v>637</v>
      </c>
      <c r="D1898" s="36" t="s">
        <v>147</v>
      </c>
      <c r="E1898" s="37">
        <v>1</v>
      </c>
      <c r="F1898" s="34" t="s">
        <v>560</v>
      </c>
      <c r="G1898" s="31" t="str">
        <f t="shared" si="30"/>
        <v/>
      </c>
      <c r="H1898" s="35"/>
      <c r="I1898" s="31"/>
      <c r="J1898" s="155">
        <v>0</v>
      </c>
    </row>
    <row r="1899" spans="1:10" ht="15" hidden="1" thickBot="1" x14ac:dyDescent="0.35">
      <c r="A1899" s="230"/>
      <c r="B1899" s="225"/>
      <c r="C1899" s="36"/>
      <c r="D1899" s="36"/>
      <c r="E1899" s="37"/>
      <c r="F1899" s="31" t="s">
        <v>560</v>
      </c>
      <c r="G1899" s="31" t="str">
        <f t="shared" si="30"/>
        <v/>
      </c>
      <c r="H1899" s="35"/>
      <c r="I1899" s="31"/>
      <c r="J1899" s="155">
        <v>0</v>
      </c>
    </row>
    <row r="1900" spans="1:10" ht="15" hidden="1" thickBot="1" x14ac:dyDescent="0.35">
      <c r="A1900" s="226" t="s">
        <v>638</v>
      </c>
      <c r="B1900" s="223" t="e">
        <f>INDEX(#REF!,MATCH(Composições!A1900,#REF!,0),2)</f>
        <v>#REF!</v>
      </c>
      <c r="C1900" s="41"/>
      <c r="D1900" s="26" t="e">
        <f>TRIM(INDEX(#REF!,MATCH(Composições!A1900,#REF!,0),1))</f>
        <v>#REF!</v>
      </c>
      <c r="E1900" s="27"/>
      <c r="F1900" s="42" t="s">
        <v>560</v>
      </c>
      <c r="G1900" s="28" t="str">
        <f t="shared" si="30"/>
        <v/>
      </c>
      <c r="H1900" s="29"/>
      <c r="I1900" s="30"/>
      <c r="J1900" s="155">
        <v>0</v>
      </c>
    </row>
    <row r="1901" spans="1:10" ht="15" hidden="1" thickBot="1" x14ac:dyDescent="0.35">
      <c r="A1901" s="229"/>
      <c r="B1901" s="224"/>
      <c r="C1901" s="32"/>
      <c r="D1901" s="32"/>
      <c r="E1901" s="33"/>
      <c r="F1901" s="43" t="s">
        <v>560</v>
      </c>
      <c r="G1901" s="31" t="str">
        <f t="shared" si="30"/>
        <v/>
      </c>
      <c r="H1901" s="35"/>
      <c r="I1901" s="31"/>
      <c r="J1901" s="155">
        <v>0</v>
      </c>
    </row>
    <row r="1902" spans="1:10" ht="15" hidden="1" thickBot="1" x14ac:dyDescent="0.35">
      <c r="A1902" s="229"/>
      <c r="B1902" s="224"/>
      <c r="C1902" s="36" t="s">
        <v>52</v>
      </c>
      <c r="D1902" s="47" t="s">
        <v>12</v>
      </c>
      <c r="E1902" s="37">
        <v>3.5</v>
      </c>
      <c r="F1902" s="31">
        <v>16.013999999999999</v>
      </c>
      <c r="G1902" s="34">
        <f t="shared" si="30"/>
        <v>56.048999999999999</v>
      </c>
      <c r="H1902" s="39">
        <f>SUM(G1902:G1904)</f>
        <v>130.36449999999999</v>
      </c>
      <c r="I1902" s="40"/>
      <c r="J1902" s="155">
        <v>0</v>
      </c>
    </row>
    <row r="1903" spans="1:10" ht="15" hidden="1" thickBot="1" x14ac:dyDescent="0.35">
      <c r="A1903" s="229"/>
      <c r="B1903" s="224"/>
      <c r="C1903" s="36" t="s">
        <v>608</v>
      </c>
      <c r="D1903" s="47" t="s">
        <v>12</v>
      </c>
      <c r="E1903" s="37">
        <v>3.5</v>
      </c>
      <c r="F1903" s="31">
        <v>21.233000000000001</v>
      </c>
      <c r="G1903" s="34">
        <f t="shared" si="30"/>
        <v>74.3155</v>
      </c>
      <c r="H1903" s="35"/>
      <c r="I1903" s="31"/>
      <c r="J1903" s="155">
        <v>0</v>
      </c>
    </row>
    <row r="1904" spans="1:10" ht="15" hidden="1" thickBot="1" x14ac:dyDescent="0.35">
      <c r="A1904" s="229"/>
      <c r="B1904" s="224"/>
      <c r="C1904" s="36" t="s">
        <v>639</v>
      </c>
      <c r="D1904" s="36" t="s">
        <v>147</v>
      </c>
      <c r="E1904" s="37">
        <v>1</v>
      </c>
      <c r="F1904" s="34">
        <v>0</v>
      </c>
      <c r="G1904" s="34">
        <f t="shared" si="30"/>
        <v>0</v>
      </c>
      <c r="H1904" s="35"/>
      <c r="I1904" s="31"/>
      <c r="J1904" s="155">
        <v>0</v>
      </c>
    </row>
    <row r="1905" spans="1:10" ht="15" hidden="1" thickBot="1" x14ac:dyDescent="0.35">
      <c r="A1905" s="230"/>
      <c r="B1905" s="225"/>
      <c r="C1905" s="36"/>
      <c r="D1905" s="36"/>
      <c r="E1905" s="37"/>
      <c r="F1905" s="31" t="s">
        <v>560</v>
      </c>
      <c r="G1905" s="31" t="str">
        <f t="shared" si="30"/>
        <v/>
      </c>
      <c r="H1905" s="35"/>
      <c r="I1905" s="31"/>
      <c r="J1905" s="155">
        <v>0</v>
      </c>
    </row>
    <row r="1906" spans="1:10" ht="15" hidden="1" thickBot="1" x14ac:dyDescent="0.35">
      <c r="A1906" s="226" t="s">
        <v>640</v>
      </c>
      <c r="B1906" s="223" t="e">
        <f>INDEX(#REF!,MATCH(Composições!A1906,#REF!,0),2)</f>
        <v>#REF!</v>
      </c>
      <c r="C1906" s="41"/>
      <c r="D1906" s="26" t="e">
        <f>TRIM(INDEX(#REF!,MATCH(Composições!A1906,#REF!,0),1))</f>
        <v>#REF!</v>
      </c>
      <c r="E1906" s="27"/>
      <c r="F1906" s="42" t="s">
        <v>560</v>
      </c>
      <c r="G1906" s="28" t="str">
        <f t="shared" si="30"/>
        <v/>
      </c>
      <c r="H1906" s="29"/>
      <c r="I1906" s="30"/>
      <c r="J1906" s="155">
        <v>0</v>
      </c>
    </row>
    <row r="1907" spans="1:10" ht="15" hidden="1" thickBot="1" x14ac:dyDescent="0.35">
      <c r="A1907" s="229"/>
      <c r="B1907" s="224"/>
      <c r="C1907" s="32"/>
      <c r="D1907" s="32"/>
      <c r="E1907" s="33"/>
      <c r="F1907" s="43" t="s">
        <v>560</v>
      </c>
      <c r="G1907" s="31" t="str">
        <f t="shared" si="30"/>
        <v/>
      </c>
      <c r="H1907" s="35"/>
      <c r="I1907" s="31"/>
      <c r="J1907" s="155">
        <v>0</v>
      </c>
    </row>
    <row r="1908" spans="1:10" ht="15" hidden="1" thickBot="1" x14ac:dyDescent="0.35">
      <c r="A1908" s="229"/>
      <c r="B1908" s="224"/>
      <c r="C1908" s="36" t="s">
        <v>52</v>
      </c>
      <c r="D1908" s="47" t="s">
        <v>12</v>
      </c>
      <c r="E1908" s="37">
        <v>3.5</v>
      </c>
      <c r="F1908" s="31">
        <v>16.013999999999999</v>
      </c>
      <c r="G1908" s="31">
        <f t="shared" si="30"/>
        <v>56.048999999999999</v>
      </c>
      <c r="H1908" s="39">
        <f>SUM(G1908:G1910)</f>
        <v>130.36449999999999</v>
      </c>
      <c r="I1908" s="40"/>
      <c r="J1908" s="155">
        <v>0</v>
      </c>
    </row>
    <row r="1909" spans="1:10" ht="15" hidden="1" thickBot="1" x14ac:dyDescent="0.35">
      <c r="A1909" s="229"/>
      <c r="B1909" s="224"/>
      <c r="C1909" s="36" t="s">
        <v>608</v>
      </c>
      <c r="D1909" s="47" t="s">
        <v>12</v>
      </c>
      <c r="E1909" s="37">
        <v>3.5</v>
      </c>
      <c r="F1909" s="31">
        <v>21.233000000000001</v>
      </c>
      <c r="G1909" s="31">
        <f t="shared" si="30"/>
        <v>74.3155</v>
      </c>
      <c r="H1909" s="35"/>
      <c r="I1909" s="31"/>
      <c r="J1909" s="155">
        <v>0</v>
      </c>
    </row>
    <row r="1910" spans="1:10" ht="15" hidden="1" thickBot="1" x14ac:dyDescent="0.35">
      <c r="A1910" s="229"/>
      <c r="B1910" s="224"/>
      <c r="C1910" s="36" t="s">
        <v>641</v>
      </c>
      <c r="D1910" s="36" t="s">
        <v>147</v>
      </c>
      <c r="E1910" s="37">
        <v>1</v>
      </c>
      <c r="F1910" s="31">
        <v>0</v>
      </c>
      <c r="G1910" s="31">
        <f t="shared" si="30"/>
        <v>0</v>
      </c>
      <c r="H1910" s="35"/>
      <c r="I1910" s="31"/>
      <c r="J1910" s="155">
        <v>0</v>
      </c>
    </row>
    <row r="1911" spans="1:10" ht="15" hidden="1" thickBot="1" x14ac:dyDescent="0.35">
      <c r="A1911" s="230"/>
      <c r="B1911" s="225"/>
      <c r="C1911" s="36"/>
      <c r="D1911" s="36"/>
      <c r="E1911" s="37"/>
      <c r="F1911" s="31" t="s">
        <v>560</v>
      </c>
      <c r="G1911" s="31" t="str">
        <f t="shared" si="30"/>
        <v/>
      </c>
      <c r="H1911" s="35"/>
      <c r="I1911" s="31"/>
      <c r="J1911" s="155">
        <v>0</v>
      </c>
    </row>
    <row r="1912" spans="1:10" ht="15" hidden="1" thickBot="1" x14ac:dyDescent="0.35">
      <c r="A1912" s="226" t="s">
        <v>642</v>
      </c>
      <c r="B1912" s="223" t="e">
        <f>INDEX(#REF!,MATCH(Composições!A1912,#REF!,0),2)</f>
        <v>#REF!</v>
      </c>
      <c r="C1912" s="41"/>
      <c r="D1912" s="26" t="e">
        <f>TRIM(INDEX(#REF!,MATCH(Composições!A1912,#REF!,0),1))</f>
        <v>#REF!</v>
      </c>
      <c r="E1912" s="27"/>
      <c r="F1912" s="42" t="s">
        <v>560</v>
      </c>
      <c r="G1912" s="28" t="str">
        <f t="shared" si="30"/>
        <v/>
      </c>
      <c r="H1912" s="29"/>
      <c r="I1912" s="30"/>
      <c r="J1912" s="155">
        <v>0</v>
      </c>
    </row>
    <row r="1913" spans="1:10" ht="15" hidden="1" thickBot="1" x14ac:dyDescent="0.35">
      <c r="A1913" s="229"/>
      <c r="B1913" s="224"/>
      <c r="C1913" s="32"/>
      <c r="D1913" s="32"/>
      <c r="E1913" s="33"/>
      <c r="F1913" s="43" t="s">
        <v>560</v>
      </c>
      <c r="G1913" s="31" t="str">
        <f t="shared" si="30"/>
        <v/>
      </c>
      <c r="H1913" s="35"/>
      <c r="I1913" s="31"/>
      <c r="J1913" s="155">
        <v>0</v>
      </c>
    </row>
    <row r="1914" spans="1:10" ht="15" hidden="1" thickBot="1" x14ac:dyDescent="0.35">
      <c r="A1914" s="229"/>
      <c r="B1914" s="224"/>
      <c r="C1914" s="36" t="s">
        <v>52</v>
      </c>
      <c r="D1914" s="47" t="s">
        <v>12</v>
      </c>
      <c r="E1914" s="37">
        <v>2.5</v>
      </c>
      <c r="F1914" s="31">
        <v>16.013999999999999</v>
      </c>
      <c r="G1914" s="31">
        <f t="shared" si="30"/>
        <v>40.034999999999997</v>
      </c>
      <c r="H1914" s="39">
        <f>SUM(G1914:G1915)</f>
        <v>93.117500000000007</v>
      </c>
      <c r="I1914" s="40"/>
      <c r="J1914" s="155">
        <v>0</v>
      </c>
    </row>
    <row r="1915" spans="1:10" ht="15" hidden="1" thickBot="1" x14ac:dyDescent="0.35">
      <c r="A1915" s="229"/>
      <c r="B1915" s="224"/>
      <c r="C1915" s="36" t="s">
        <v>608</v>
      </c>
      <c r="D1915" s="47" t="s">
        <v>12</v>
      </c>
      <c r="E1915" s="37">
        <v>2.5</v>
      </c>
      <c r="F1915" s="31">
        <v>21.233000000000001</v>
      </c>
      <c r="G1915" s="31">
        <f t="shared" si="30"/>
        <v>53.082500000000003</v>
      </c>
      <c r="H1915" s="35"/>
      <c r="I1915" s="31"/>
      <c r="J1915" s="155">
        <v>0</v>
      </c>
    </row>
    <row r="1916" spans="1:10" ht="15" hidden="1" thickBot="1" x14ac:dyDescent="0.35">
      <c r="A1916" s="230"/>
      <c r="B1916" s="225"/>
      <c r="C1916" s="36"/>
      <c r="D1916" s="36"/>
      <c r="E1916" s="37"/>
      <c r="F1916" s="31" t="s">
        <v>560</v>
      </c>
      <c r="G1916" s="31" t="str">
        <f t="shared" si="30"/>
        <v/>
      </c>
      <c r="H1916" s="35"/>
      <c r="I1916" s="31"/>
      <c r="J1916" s="155">
        <v>0</v>
      </c>
    </row>
    <row r="1917" spans="1:10" ht="15" hidden="1" thickBot="1" x14ac:dyDescent="0.35">
      <c r="A1917" s="226" t="s">
        <v>643</v>
      </c>
      <c r="B1917" s="223" t="e">
        <f>INDEX(#REF!,MATCH(Composições!A1917,#REF!,0),2)</f>
        <v>#REF!</v>
      </c>
      <c r="C1917" s="41"/>
      <c r="D1917" s="26" t="e">
        <f>TRIM(INDEX(#REF!,MATCH(Composições!A1917,#REF!,0),1))</f>
        <v>#REF!</v>
      </c>
      <c r="E1917" s="27"/>
      <c r="F1917" s="42" t="s">
        <v>560</v>
      </c>
      <c r="G1917" s="28" t="str">
        <f t="shared" si="30"/>
        <v/>
      </c>
      <c r="H1917" s="29"/>
      <c r="I1917" s="30"/>
      <c r="J1917" s="155">
        <v>0</v>
      </c>
    </row>
    <row r="1918" spans="1:10" ht="15" hidden="1" thickBot="1" x14ac:dyDescent="0.35">
      <c r="A1918" s="229"/>
      <c r="B1918" s="224"/>
      <c r="C1918" s="32"/>
      <c r="D1918" s="32"/>
      <c r="E1918" s="33"/>
      <c r="F1918" s="43" t="s">
        <v>560</v>
      </c>
      <c r="G1918" s="31" t="str">
        <f t="shared" si="30"/>
        <v/>
      </c>
      <c r="H1918" s="35"/>
      <c r="I1918" s="31"/>
      <c r="J1918" s="155">
        <v>0</v>
      </c>
    </row>
    <row r="1919" spans="1:10" ht="15" hidden="1" thickBot="1" x14ac:dyDescent="0.35">
      <c r="A1919" s="229"/>
      <c r="B1919" s="224"/>
      <c r="C1919" s="36" t="s">
        <v>30</v>
      </c>
      <c r="D1919" s="36" t="s">
        <v>12</v>
      </c>
      <c r="E1919" s="37">
        <v>1</v>
      </c>
      <c r="F1919" s="31">
        <v>20.484999999999999</v>
      </c>
      <c r="G1919" s="34">
        <f t="shared" si="30"/>
        <v>20.484999999999999</v>
      </c>
      <c r="H1919" s="39">
        <f>SUM(G1919:G1920)</f>
        <v>36.414000000000001</v>
      </c>
      <c r="I1919" s="40"/>
      <c r="J1919" s="155">
        <v>0</v>
      </c>
    </row>
    <row r="1920" spans="1:10" ht="15" hidden="1" thickBot="1" x14ac:dyDescent="0.35">
      <c r="A1920" s="229"/>
      <c r="B1920" s="224"/>
      <c r="C1920" s="36" t="s">
        <v>74</v>
      </c>
      <c r="D1920" s="47" t="s">
        <v>12</v>
      </c>
      <c r="E1920" s="37">
        <v>1</v>
      </c>
      <c r="F1920" s="31">
        <v>15.928999999999998</v>
      </c>
      <c r="G1920" s="34">
        <f t="shared" si="30"/>
        <v>15.928999999999998</v>
      </c>
      <c r="H1920" s="35"/>
      <c r="I1920" s="31"/>
      <c r="J1920" s="155">
        <v>0</v>
      </c>
    </row>
    <row r="1921" spans="1:10" ht="15" hidden="1" thickBot="1" x14ac:dyDescent="0.35">
      <c r="A1921" s="230"/>
      <c r="B1921" s="225"/>
      <c r="C1921" s="36"/>
      <c r="D1921" s="36"/>
      <c r="E1921" s="37"/>
      <c r="F1921" s="31" t="s">
        <v>560</v>
      </c>
      <c r="G1921" s="31" t="str">
        <f t="shared" si="30"/>
        <v/>
      </c>
      <c r="H1921" s="35"/>
      <c r="I1921" s="31"/>
      <c r="J1921" s="155">
        <v>0</v>
      </c>
    </row>
    <row r="1922" spans="1:10" ht="15" hidden="1" thickBot="1" x14ac:dyDescent="0.35">
      <c r="A1922" s="226" t="s">
        <v>644</v>
      </c>
      <c r="B1922" s="223" t="e">
        <f>INDEX(#REF!,MATCH(Composições!A1922,#REF!,0),2)</f>
        <v>#REF!</v>
      </c>
      <c r="C1922" s="41"/>
      <c r="D1922" s="26" t="e">
        <f>TRIM(INDEX(#REF!,MATCH(Composições!A1922,#REF!,0),1))</f>
        <v>#REF!</v>
      </c>
      <c r="E1922" s="27"/>
      <c r="F1922" s="42" t="s">
        <v>560</v>
      </c>
      <c r="G1922" s="28" t="str">
        <f t="shared" si="30"/>
        <v/>
      </c>
      <c r="H1922" s="29"/>
      <c r="I1922" s="30"/>
      <c r="J1922" s="155">
        <v>0</v>
      </c>
    </row>
    <row r="1923" spans="1:10" ht="15" hidden="1" thickBot="1" x14ac:dyDescent="0.35">
      <c r="A1923" s="229"/>
      <c r="B1923" s="224"/>
      <c r="C1923" s="32"/>
      <c r="D1923" s="32"/>
      <c r="E1923" s="33"/>
      <c r="F1923" s="43" t="s">
        <v>560</v>
      </c>
      <c r="G1923" s="31" t="str">
        <f t="shared" si="30"/>
        <v/>
      </c>
      <c r="H1923" s="35"/>
      <c r="I1923" s="31"/>
      <c r="J1923" s="155">
        <v>0</v>
      </c>
    </row>
    <row r="1924" spans="1:10" ht="15" hidden="1" thickBot="1" x14ac:dyDescent="0.35">
      <c r="A1924" s="229"/>
      <c r="B1924" s="224"/>
      <c r="C1924" s="36" t="s">
        <v>645</v>
      </c>
      <c r="D1924" s="36" t="s">
        <v>12</v>
      </c>
      <c r="E1924" s="37">
        <v>0.75</v>
      </c>
      <c r="F1924" s="31">
        <v>20.484999999999999</v>
      </c>
      <c r="G1924" s="34">
        <f t="shared" si="30"/>
        <v>15.36375</v>
      </c>
      <c r="H1924" s="39">
        <f>SUM(G1924:G1925)</f>
        <v>28.088250000000002</v>
      </c>
      <c r="I1924" s="40"/>
      <c r="J1924" s="155">
        <v>0</v>
      </c>
    </row>
    <row r="1925" spans="1:10" ht="15" hidden="1" thickBot="1" x14ac:dyDescent="0.35">
      <c r="A1925" s="229"/>
      <c r="B1925" s="224"/>
      <c r="C1925" s="36" t="s">
        <v>130</v>
      </c>
      <c r="D1925" s="47" t="s">
        <v>12</v>
      </c>
      <c r="E1925" s="37">
        <v>0.75</v>
      </c>
      <c r="F1925" s="31">
        <v>16.966000000000001</v>
      </c>
      <c r="G1925" s="34">
        <f t="shared" si="30"/>
        <v>12.724500000000001</v>
      </c>
      <c r="H1925" s="35"/>
      <c r="I1925" s="31"/>
      <c r="J1925" s="155">
        <v>0</v>
      </c>
    </row>
    <row r="1926" spans="1:10" ht="15" hidden="1" thickBot="1" x14ac:dyDescent="0.35">
      <c r="A1926" s="230"/>
      <c r="B1926" s="225"/>
      <c r="C1926" s="36"/>
      <c r="D1926" s="36"/>
      <c r="E1926" s="37"/>
      <c r="F1926" s="31" t="s">
        <v>560</v>
      </c>
      <c r="G1926" s="31" t="str">
        <f t="shared" si="30"/>
        <v/>
      </c>
      <c r="H1926" s="35"/>
      <c r="I1926" s="31"/>
      <c r="J1926" s="155">
        <v>0</v>
      </c>
    </row>
    <row r="1927" spans="1:10" ht="15" hidden="1" thickBot="1" x14ac:dyDescent="0.35">
      <c r="A1927" s="226" t="s">
        <v>646</v>
      </c>
      <c r="B1927" s="223" t="e">
        <f>INDEX(#REF!,MATCH(Composições!A1927,#REF!,0),2)</f>
        <v>#REF!</v>
      </c>
      <c r="C1927" s="41"/>
      <c r="D1927" s="26" t="e">
        <f>TRIM(INDEX(#REF!,MATCH(Composições!A1927,#REF!,0),1))</f>
        <v>#REF!</v>
      </c>
      <c r="E1927" s="27"/>
      <c r="F1927" s="42" t="s">
        <v>560</v>
      </c>
      <c r="G1927" s="28" t="str">
        <f t="shared" si="30"/>
        <v/>
      </c>
      <c r="H1927" s="29"/>
      <c r="I1927" s="30"/>
      <c r="J1927" s="155">
        <v>0</v>
      </c>
    </row>
    <row r="1928" spans="1:10" ht="15" hidden="1" thickBot="1" x14ac:dyDescent="0.35">
      <c r="A1928" s="229"/>
      <c r="B1928" s="224"/>
      <c r="C1928" s="32"/>
      <c r="D1928" s="32"/>
      <c r="E1928" s="33"/>
      <c r="F1928" s="43" t="s">
        <v>560</v>
      </c>
      <c r="G1928" s="31" t="str">
        <f t="shared" si="30"/>
        <v/>
      </c>
      <c r="H1928" s="35"/>
      <c r="I1928" s="31"/>
      <c r="J1928" s="155">
        <v>0</v>
      </c>
    </row>
    <row r="1929" spans="1:10" ht="15" hidden="1" thickBot="1" x14ac:dyDescent="0.35">
      <c r="A1929" s="229"/>
      <c r="B1929" s="224"/>
      <c r="C1929" s="36" t="s">
        <v>74</v>
      </c>
      <c r="D1929" s="36" t="s">
        <v>12</v>
      </c>
      <c r="E1929" s="37">
        <v>1</v>
      </c>
      <c r="F1929" s="31">
        <v>15.928999999999998</v>
      </c>
      <c r="G1929" s="34">
        <f t="shared" si="30"/>
        <v>15.928999999999998</v>
      </c>
      <c r="H1929" s="39">
        <f>SUM(G1929:G1931)</f>
        <v>36.414000000000001</v>
      </c>
      <c r="I1929" s="40"/>
      <c r="J1929" s="155">
        <v>0</v>
      </c>
    </row>
    <row r="1930" spans="1:10" ht="15" hidden="1" thickBot="1" x14ac:dyDescent="0.35">
      <c r="A1930" s="229"/>
      <c r="B1930" s="224"/>
      <c r="C1930" s="36" t="s">
        <v>30</v>
      </c>
      <c r="D1930" s="36" t="s">
        <v>12</v>
      </c>
      <c r="E1930" s="37">
        <v>1</v>
      </c>
      <c r="F1930" s="31">
        <v>20.484999999999999</v>
      </c>
      <c r="G1930" s="34">
        <f t="shared" si="30"/>
        <v>20.484999999999999</v>
      </c>
      <c r="H1930" s="35"/>
      <c r="I1930" s="31"/>
      <c r="J1930" s="155">
        <v>0</v>
      </c>
    </row>
    <row r="1931" spans="1:10" ht="27" hidden="1" thickBot="1" x14ac:dyDescent="0.35">
      <c r="A1931" s="229"/>
      <c r="B1931" s="224"/>
      <c r="C1931" s="36" t="s">
        <v>647</v>
      </c>
      <c r="D1931" s="36" t="s">
        <v>20</v>
      </c>
      <c r="E1931" s="37">
        <v>1</v>
      </c>
      <c r="F1931" s="34" t="s">
        <v>560</v>
      </c>
      <c r="G1931" s="31" t="str">
        <f t="shared" si="30"/>
        <v/>
      </c>
      <c r="H1931" s="35"/>
      <c r="I1931" s="31"/>
      <c r="J1931" s="155">
        <v>0</v>
      </c>
    </row>
    <row r="1932" spans="1:10" ht="15" hidden="1" thickBot="1" x14ac:dyDescent="0.35">
      <c r="A1932" s="230"/>
      <c r="B1932" s="225"/>
      <c r="C1932" s="36"/>
      <c r="D1932" s="36"/>
      <c r="E1932" s="37"/>
      <c r="F1932" s="31" t="s">
        <v>560</v>
      </c>
      <c r="G1932" s="31" t="str">
        <f t="shared" si="30"/>
        <v/>
      </c>
      <c r="H1932" s="35"/>
      <c r="I1932" s="31"/>
      <c r="J1932" s="155">
        <v>0</v>
      </c>
    </row>
    <row r="1933" spans="1:10" ht="15" hidden="1" thickBot="1" x14ac:dyDescent="0.35">
      <c r="A1933" s="226" t="s">
        <v>648</v>
      </c>
      <c r="B1933" s="223" t="e">
        <f>INDEX(#REF!,MATCH(Composições!A1933,#REF!,0),2)</f>
        <v>#REF!</v>
      </c>
      <c r="C1933" s="41"/>
      <c r="D1933" s="26" t="e">
        <f>TRIM(INDEX(#REF!,MATCH(Composições!A1933,#REF!,0),1))</f>
        <v>#REF!</v>
      </c>
      <c r="E1933" s="27"/>
      <c r="F1933" s="42" t="s">
        <v>560</v>
      </c>
      <c r="G1933" s="28" t="str">
        <f t="shared" si="30"/>
        <v/>
      </c>
      <c r="H1933" s="29"/>
      <c r="I1933" s="30"/>
      <c r="J1933" s="155">
        <v>0</v>
      </c>
    </row>
    <row r="1934" spans="1:10" ht="15" hidden="1" thickBot="1" x14ac:dyDescent="0.35">
      <c r="A1934" s="229"/>
      <c r="B1934" s="224"/>
      <c r="C1934" s="32"/>
      <c r="D1934" s="32"/>
      <c r="E1934" s="33"/>
      <c r="F1934" s="43" t="s">
        <v>560</v>
      </c>
      <c r="G1934" s="31" t="str">
        <f t="shared" si="30"/>
        <v/>
      </c>
      <c r="H1934" s="35"/>
      <c r="I1934" s="31"/>
      <c r="J1934" s="155">
        <v>0</v>
      </c>
    </row>
    <row r="1935" spans="1:10" ht="15" hidden="1" thickBot="1" x14ac:dyDescent="0.35">
      <c r="A1935" s="229"/>
      <c r="B1935" s="224"/>
      <c r="C1935" s="36" t="s">
        <v>52</v>
      </c>
      <c r="D1935" s="47" t="s">
        <v>12</v>
      </c>
      <c r="E1935" s="37">
        <v>0.05</v>
      </c>
      <c r="F1935" s="31">
        <v>16.013999999999999</v>
      </c>
      <c r="G1935" s="31">
        <f t="shared" si="30"/>
        <v>0.80069999999999997</v>
      </c>
      <c r="H1935" s="39">
        <f>SUM(G1935:G1936)</f>
        <v>0.80069999999999997</v>
      </c>
      <c r="I1935" s="40"/>
      <c r="J1935" s="155">
        <v>0</v>
      </c>
    </row>
    <row r="1936" spans="1:10" ht="15" hidden="1" thickBot="1" x14ac:dyDescent="0.35">
      <c r="A1936" s="229"/>
      <c r="B1936" s="224"/>
      <c r="C1936" s="36" t="s">
        <v>649</v>
      </c>
      <c r="D1936" s="47" t="s">
        <v>93</v>
      </c>
      <c r="E1936" s="37">
        <v>1</v>
      </c>
      <c r="F1936" s="31" t="s">
        <v>560</v>
      </c>
      <c r="G1936" s="31" t="str">
        <f t="shared" si="30"/>
        <v/>
      </c>
      <c r="H1936" s="35"/>
      <c r="I1936" s="31"/>
      <c r="J1936" s="155">
        <v>0</v>
      </c>
    </row>
    <row r="1937" spans="1:10" ht="15" hidden="1" thickBot="1" x14ac:dyDescent="0.35">
      <c r="A1937" s="230"/>
      <c r="B1937" s="225"/>
      <c r="C1937" s="36"/>
      <c r="D1937" s="36"/>
      <c r="E1937" s="37"/>
      <c r="F1937" s="31" t="s">
        <v>560</v>
      </c>
      <c r="G1937" s="31" t="str">
        <f t="shared" si="30"/>
        <v/>
      </c>
      <c r="H1937" s="35"/>
      <c r="I1937" s="31"/>
      <c r="J1937" s="155">
        <v>0</v>
      </c>
    </row>
    <row r="1938" spans="1:10" ht="15" hidden="1" thickBot="1" x14ac:dyDescent="0.35">
      <c r="A1938" s="226" t="s">
        <v>650</v>
      </c>
      <c r="B1938" s="223" t="e">
        <f>INDEX(#REF!,MATCH(Composições!A1938,#REF!,0),2)</f>
        <v>#REF!</v>
      </c>
      <c r="C1938" s="41"/>
      <c r="D1938" s="26" t="e">
        <f>TRIM(INDEX(#REF!,MATCH(Composições!A1938,#REF!,0),1))</f>
        <v>#REF!</v>
      </c>
      <c r="E1938" s="27"/>
      <c r="F1938" s="42" t="s">
        <v>560</v>
      </c>
      <c r="G1938" s="28" t="str">
        <f t="shared" ref="G1938:G2001" si="31">IF(ISNUMBER(F1938),E1938*F1938,"")</f>
        <v/>
      </c>
      <c r="H1938" s="29"/>
      <c r="I1938" s="30"/>
      <c r="J1938" s="155">
        <v>0</v>
      </c>
    </row>
    <row r="1939" spans="1:10" ht="15" hidden="1" thickBot="1" x14ac:dyDescent="0.35">
      <c r="A1939" s="229"/>
      <c r="B1939" s="224"/>
      <c r="C1939" s="32"/>
      <c r="D1939" s="32"/>
      <c r="E1939" s="33"/>
      <c r="F1939" s="43" t="s">
        <v>560</v>
      </c>
      <c r="G1939" s="31" t="str">
        <f t="shared" si="31"/>
        <v/>
      </c>
      <c r="H1939" s="35"/>
      <c r="I1939" s="31"/>
      <c r="J1939" s="155">
        <v>0</v>
      </c>
    </row>
    <row r="1940" spans="1:10" ht="15" hidden="1" thickBot="1" x14ac:dyDescent="0.35">
      <c r="A1940" s="229"/>
      <c r="B1940" s="224"/>
      <c r="C1940" s="36" t="s">
        <v>52</v>
      </c>
      <c r="D1940" s="47" t="s">
        <v>12</v>
      </c>
      <c r="E1940" s="37">
        <v>0.05</v>
      </c>
      <c r="F1940" s="31">
        <v>16.013999999999999</v>
      </c>
      <c r="G1940" s="31">
        <f t="shared" si="31"/>
        <v>0.80069999999999997</v>
      </c>
      <c r="H1940" s="39">
        <f>SUM(G1940:G1941)</f>
        <v>0.80069999999999997</v>
      </c>
      <c r="I1940" s="40"/>
      <c r="J1940" s="155">
        <v>0</v>
      </c>
    </row>
    <row r="1941" spans="1:10" ht="15" hidden="1" thickBot="1" x14ac:dyDescent="0.35">
      <c r="A1941" s="229"/>
      <c r="B1941" s="224"/>
      <c r="C1941" s="36" t="s">
        <v>651</v>
      </c>
      <c r="D1941" s="47" t="s">
        <v>93</v>
      </c>
      <c r="E1941" s="37">
        <v>1</v>
      </c>
      <c r="F1941" s="31" t="s">
        <v>560</v>
      </c>
      <c r="G1941" s="31" t="str">
        <f t="shared" si="31"/>
        <v/>
      </c>
      <c r="H1941" s="35"/>
      <c r="I1941" s="31"/>
      <c r="J1941" s="155">
        <v>0</v>
      </c>
    </row>
    <row r="1942" spans="1:10" ht="15" hidden="1" thickBot="1" x14ac:dyDescent="0.35">
      <c r="A1942" s="230"/>
      <c r="B1942" s="225"/>
      <c r="C1942" s="36"/>
      <c r="D1942" s="36"/>
      <c r="E1942" s="37"/>
      <c r="F1942" s="31" t="s">
        <v>560</v>
      </c>
      <c r="G1942" s="31" t="str">
        <f t="shared" si="31"/>
        <v/>
      </c>
      <c r="H1942" s="35"/>
      <c r="I1942" s="31"/>
      <c r="J1942" s="155">
        <v>0</v>
      </c>
    </row>
    <row r="1943" spans="1:10" ht="15" hidden="1" thickBot="1" x14ac:dyDescent="0.35">
      <c r="A1943" s="226" t="s">
        <v>652</v>
      </c>
      <c r="B1943" s="223" t="e">
        <f>INDEX(#REF!,MATCH(Composições!A1943,#REF!,0),2)</f>
        <v>#REF!</v>
      </c>
      <c r="C1943" s="41"/>
      <c r="D1943" s="26" t="e">
        <f>TRIM(INDEX(#REF!,MATCH(Composições!A1943,#REF!,0),1))</f>
        <v>#REF!</v>
      </c>
      <c r="E1943" s="27"/>
      <c r="F1943" s="42" t="s">
        <v>560</v>
      </c>
      <c r="G1943" s="28" t="str">
        <f t="shared" si="31"/>
        <v/>
      </c>
      <c r="H1943" s="29"/>
      <c r="I1943" s="30"/>
      <c r="J1943" s="155">
        <v>0</v>
      </c>
    </row>
    <row r="1944" spans="1:10" ht="15" hidden="1" thickBot="1" x14ac:dyDescent="0.35">
      <c r="A1944" s="229"/>
      <c r="B1944" s="224"/>
      <c r="C1944" s="32"/>
      <c r="D1944" s="32"/>
      <c r="E1944" s="33"/>
      <c r="F1944" s="43" t="s">
        <v>560</v>
      </c>
      <c r="G1944" s="31" t="str">
        <f t="shared" si="31"/>
        <v/>
      </c>
      <c r="H1944" s="35"/>
      <c r="I1944" s="31"/>
      <c r="J1944" s="155">
        <v>0</v>
      </c>
    </row>
    <row r="1945" spans="1:10" ht="15" hidden="1" thickBot="1" x14ac:dyDescent="0.35">
      <c r="A1945" s="229"/>
      <c r="B1945" s="224"/>
      <c r="C1945" s="36" t="s">
        <v>52</v>
      </c>
      <c r="D1945" s="47" t="s">
        <v>12</v>
      </c>
      <c r="E1945" s="37">
        <v>0.05</v>
      </c>
      <c r="F1945" s="31">
        <v>16.013999999999999</v>
      </c>
      <c r="G1945" s="31">
        <f t="shared" si="31"/>
        <v>0.80069999999999997</v>
      </c>
      <c r="H1945" s="39">
        <f>SUM(G1945:G1946)</f>
        <v>0.80069999999999997</v>
      </c>
      <c r="I1945" s="40"/>
      <c r="J1945" s="155">
        <v>0</v>
      </c>
    </row>
    <row r="1946" spans="1:10" ht="15" hidden="1" thickBot="1" x14ac:dyDescent="0.35">
      <c r="A1946" s="229"/>
      <c r="B1946" s="224"/>
      <c r="C1946" s="36" t="s">
        <v>653</v>
      </c>
      <c r="D1946" s="47" t="s">
        <v>93</v>
      </c>
      <c r="E1946" s="37">
        <v>1</v>
      </c>
      <c r="F1946" s="31" t="s">
        <v>560</v>
      </c>
      <c r="G1946" s="31" t="str">
        <f t="shared" si="31"/>
        <v/>
      </c>
      <c r="H1946" s="35"/>
      <c r="I1946" s="31"/>
      <c r="J1946" s="155">
        <v>0</v>
      </c>
    </row>
    <row r="1947" spans="1:10" ht="15" hidden="1" thickBot="1" x14ac:dyDescent="0.35">
      <c r="A1947" s="230"/>
      <c r="B1947" s="225"/>
      <c r="C1947" s="36"/>
      <c r="D1947" s="36"/>
      <c r="E1947" s="37"/>
      <c r="F1947" s="31" t="s">
        <v>560</v>
      </c>
      <c r="G1947" s="31" t="str">
        <f t="shared" si="31"/>
        <v/>
      </c>
      <c r="H1947" s="35"/>
      <c r="I1947" s="31"/>
      <c r="J1947" s="155">
        <v>0</v>
      </c>
    </row>
    <row r="1948" spans="1:10" ht="15" hidden="1" thickBot="1" x14ac:dyDescent="0.35">
      <c r="A1948" s="226" t="s">
        <v>654</v>
      </c>
      <c r="B1948" s="223" t="e">
        <f>INDEX(#REF!,MATCH(Composições!A1948,#REF!,0),2)</f>
        <v>#REF!</v>
      </c>
      <c r="C1948" s="41"/>
      <c r="D1948" s="26" t="e">
        <f>TRIM(INDEX(#REF!,MATCH(Composições!A1948,#REF!,0),1))</f>
        <v>#REF!</v>
      </c>
      <c r="E1948" s="27"/>
      <c r="F1948" s="42" t="s">
        <v>560</v>
      </c>
      <c r="G1948" s="28" t="str">
        <f t="shared" si="31"/>
        <v/>
      </c>
      <c r="H1948" s="29"/>
      <c r="I1948" s="30"/>
      <c r="J1948" s="155">
        <v>0</v>
      </c>
    </row>
    <row r="1949" spans="1:10" ht="15" hidden="1" thickBot="1" x14ac:dyDescent="0.35">
      <c r="A1949" s="229"/>
      <c r="B1949" s="224"/>
      <c r="C1949" s="32"/>
      <c r="D1949" s="32"/>
      <c r="E1949" s="33"/>
      <c r="F1949" s="43" t="s">
        <v>560</v>
      </c>
      <c r="G1949" s="31" t="str">
        <f t="shared" si="31"/>
        <v/>
      </c>
      <c r="H1949" s="35"/>
      <c r="I1949" s="31"/>
      <c r="J1949" s="155">
        <v>0</v>
      </c>
    </row>
    <row r="1950" spans="1:10" ht="15" hidden="1" thickBot="1" x14ac:dyDescent="0.35">
      <c r="A1950" s="229"/>
      <c r="B1950" s="224"/>
      <c r="C1950" s="36" t="s">
        <v>655</v>
      </c>
      <c r="D1950" s="47" t="s">
        <v>12</v>
      </c>
      <c r="E1950" s="37">
        <v>0.85099999999999998</v>
      </c>
      <c r="F1950" s="31">
        <v>20.213000000000001</v>
      </c>
      <c r="G1950" s="34">
        <f t="shared" si="31"/>
        <v>17.201263000000001</v>
      </c>
      <c r="H1950" s="39">
        <f>SUM(G1950:G1952)</f>
        <v>31.169151499999998</v>
      </c>
      <c r="I1950" s="40"/>
      <c r="J1950" s="155">
        <v>0</v>
      </c>
    </row>
    <row r="1951" spans="1:10" ht="15" hidden="1" thickBot="1" x14ac:dyDescent="0.35">
      <c r="A1951" s="229"/>
      <c r="B1951" s="224"/>
      <c r="C1951" s="36" t="s">
        <v>656</v>
      </c>
      <c r="D1951" s="47" t="s">
        <v>12</v>
      </c>
      <c r="E1951" s="37">
        <v>0.85099999999999998</v>
      </c>
      <c r="F1951" s="31">
        <v>16.413499999999999</v>
      </c>
      <c r="G1951" s="34">
        <f t="shared" si="31"/>
        <v>13.967888499999999</v>
      </c>
      <c r="H1951" s="35"/>
      <c r="I1951" s="31"/>
      <c r="J1951" s="155">
        <v>0</v>
      </c>
    </row>
    <row r="1952" spans="1:10" ht="15" hidden="1" thickBot="1" x14ac:dyDescent="0.35">
      <c r="A1952" s="229"/>
      <c r="B1952" s="224"/>
      <c r="C1952" s="36" t="s">
        <v>657</v>
      </c>
      <c r="D1952" s="36" t="s">
        <v>147</v>
      </c>
      <c r="E1952" s="37">
        <v>1</v>
      </c>
      <c r="F1952" s="34" t="s">
        <v>560</v>
      </c>
      <c r="G1952" s="34" t="str">
        <f t="shared" si="31"/>
        <v/>
      </c>
      <c r="H1952" s="35"/>
      <c r="I1952" s="31"/>
      <c r="J1952" s="155">
        <v>0</v>
      </c>
    </row>
    <row r="1953" spans="1:10" ht="15" hidden="1" thickBot="1" x14ac:dyDescent="0.35">
      <c r="A1953" s="230"/>
      <c r="B1953" s="225"/>
      <c r="C1953" s="36"/>
      <c r="D1953" s="36"/>
      <c r="E1953" s="37"/>
      <c r="F1953" s="31" t="s">
        <v>560</v>
      </c>
      <c r="G1953" s="31" t="str">
        <f t="shared" si="31"/>
        <v/>
      </c>
      <c r="H1953" s="35"/>
      <c r="I1953" s="31"/>
      <c r="J1953" s="155">
        <v>0</v>
      </c>
    </row>
    <row r="1954" spans="1:10" ht="15" hidden="1" thickBot="1" x14ac:dyDescent="0.35">
      <c r="A1954" s="226" t="s">
        <v>658</v>
      </c>
      <c r="B1954" s="223" t="e">
        <f>INDEX(#REF!,MATCH(Composições!A1954,#REF!,0),2)</f>
        <v>#REF!</v>
      </c>
      <c r="C1954" s="41"/>
      <c r="D1954" s="26" t="e">
        <f>TRIM(INDEX(#REF!,MATCH(Composições!A1954,#REF!,0),1))</f>
        <v>#REF!</v>
      </c>
      <c r="E1954" s="27"/>
      <c r="F1954" s="42" t="s">
        <v>560</v>
      </c>
      <c r="G1954" s="28" t="str">
        <f t="shared" si="31"/>
        <v/>
      </c>
      <c r="H1954" s="29"/>
      <c r="I1954" s="30"/>
      <c r="J1954" s="155">
        <v>0</v>
      </c>
    </row>
    <row r="1955" spans="1:10" ht="15" hidden="1" thickBot="1" x14ac:dyDescent="0.35">
      <c r="A1955" s="229"/>
      <c r="B1955" s="224"/>
      <c r="C1955" s="32"/>
      <c r="D1955" s="32"/>
      <c r="E1955" s="33"/>
      <c r="F1955" s="43" t="s">
        <v>560</v>
      </c>
      <c r="G1955" s="31" t="str">
        <f t="shared" si="31"/>
        <v/>
      </c>
      <c r="H1955" s="35"/>
      <c r="I1955" s="31"/>
      <c r="J1955" s="155">
        <v>0</v>
      </c>
    </row>
    <row r="1956" spans="1:10" ht="15" hidden="1" thickBot="1" x14ac:dyDescent="0.35">
      <c r="A1956" s="229"/>
      <c r="B1956" s="224"/>
      <c r="C1956" s="36" t="s">
        <v>655</v>
      </c>
      <c r="D1956" s="47" t="s">
        <v>12</v>
      </c>
      <c r="E1956" s="37">
        <v>0.85099999999999998</v>
      </c>
      <c r="F1956" s="31">
        <v>20.213000000000001</v>
      </c>
      <c r="G1956" s="34">
        <f t="shared" si="31"/>
        <v>17.201263000000001</v>
      </c>
      <c r="H1956" s="39">
        <f>SUM(G1956:G1958)</f>
        <v>31.169151499999998</v>
      </c>
      <c r="I1956" s="40"/>
      <c r="J1956" s="155">
        <v>0</v>
      </c>
    </row>
    <row r="1957" spans="1:10" ht="15" hidden="1" thickBot="1" x14ac:dyDescent="0.35">
      <c r="A1957" s="229"/>
      <c r="B1957" s="224"/>
      <c r="C1957" s="36" t="s">
        <v>656</v>
      </c>
      <c r="D1957" s="47" t="s">
        <v>12</v>
      </c>
      <c r="E1957" s="37">
        <v>0.85099999999999998</v>
      </c>
      <c r="F1957" s="31">
        <v>16.413499999999999</v>
      </c>
      <c r="G1957" s="34">
        <f t="shared" si="31"/>
        <v>13.967888499999999</v>
      </c>
      <c r="H1957" s="35"/>
      <c r="I1957" s="31"/>
      <c r="J1957" s="155">
        <v>0</v>
      </c>
    </row>
    <row r="1958" spans="1:10" ht="15" hidden="1" thickBot="1" x14ac:dyDescent="0.35">
      <c r="A1958" s="229"/>
      <c r="B1958" s="224"/>
      <c r="C1958" s="36" t="s">
        <v>659</v>
      </c>
      <c r="D1958" s="36" t="s">
        <v>147</v>
      </c>
      <c r="E1958" s="37">
        <v>1</v>
      </c>
      <c r="F1958" s="34" t="s">
        <v>560</v>
      </c>
      <c r="G1958" s="34" t="str">
        <f t="shared" si="31"/>
        <v/>
      </c>
      <c r="H1958" s="35"/>
      <c r="I1958" s="31"/>
      <c r="J1958" s="155">
        <v>0</v>
      </c>
    </row>
    <row r="1959" spans="1:10" ht="15" hidden="1" thickBot="1" x14ac:dyDescent="0.35">
      <c r="A1959" s="230"/>
      <c r="B1959" s="225"/>
      <c r="C1959" s="36"/>
      <c r="D1959" s="36"/>
      <c r="E1959" s="37"/>
      <c r="F1959" s="31" t="s">
        <v>560</v>
      </c>
      <c r="G1959" s="31" t="str">
        <f t="shared" si="31"/>
        <v/>
      </c>
      <c r="H1959" s="35"/>
      <c r="I1959" s="31"/>
      <c r="J1959" s="155">
        <v>0</v>
      </c>
    </row>
    <row r="1960" spans="1:10" ht="15" hidden="1" thickBot="1" x14ac:dyDescent="0.35">
      <c r="A1960" s="226" t="s">
        <v>660</v>
      </c>
      <c r="B1960" s="223" t="e">
        <f>INDEX(#REF!,MATCH(Composições!A1960,#REF!,0),2)</f>
        <v>#REF!</v>
      </c>
      <c r="C1960" s="41"/>
      <c r="D1960" s="26" t="e">
        <f>TRIM(INDEX(#REF!,MATCH(Composições!A1960,#REF!,0),1))</f>
        <v>#REF!</v>
      </c>
      <c r="E1960" s="27"/>
      <c r="F1960" s="42" t="s">
        <v>560</v>
      </c>
      <c r="G1960" s="28" t="str">
        <f t="shared" si="31"/>
        <v/>
      </c>
      <c r="H1960" s="29"/>
      <c r="I1960" s="30"/>
      <c r="J1960" s="155">
        <v>0</v>
      </c>
    </row>
    <row r="1961" spans="1:10" ht="15" hidden="1" thickBot="1" x14ac:dyDescent="0.35">
      <c r="A1961" s="229"/>
      <c r="B1961" s="224"/>
      <c r="C1961" s="32"/>
      <c r="D1961" s="32"/>
      <c r="E1961" s="33"/>
      <c r="F1961" s="43" t="s">
        <v>560</v>
      </c>
      <c r="G1961" s="31" t="str">
        <f t="shared" si="31"/>
        <v/>
      </c>
      <c r="H1961" s="35"/>
      <c r="I1961" s="31"/>
      <c r="J1961" s="155">
        <v>0</v>
      </c>
    </row>
    <row r="1962" spans="1:10" ht="15" hidden="1" thickBot="1" x14ac:dyDescent="0.35">
      <c r="A1962" s="229"/>
      <c r="B1962" s="224"/>
      <c r="C1962" s="36" t="s">
        <v>108</v>
      </c>
      <c r="D1962" s="47" t="s">
        <v>12</v>
      </c>
      <c r="E1962" s="37">
        <v>0.77449999999999997</v>
      </c>
      <c r="F1962" s="31">
        <v>15.4955</v>
      </c>
      <c r="G1962" s="31">
        <f t="shared" si="31"/>
        <v>12.001264749999999</v>
      </c>
      <c r="H1962" s="39">
        <f>SUM(G1962:G1965)</f>
        <v>27.521584749999999</v>
      </c>
      <c r="I1962" s="40"/>
      <c r="J1962" s="155">
        <v>0</v>
      </c>
    </row>
    <row r="1963" spans="1:10" ht="15" hidden="1" thickBot="1" x14ac:dyDescent="0.35">
      <c r="A1963" s="229"/>
      <c r="B1963" s="224"/>
      <c r="C1963" s="36" t="s">
        <v>39</v>
      </c>
      <c r="D1963" s="47" t="s">
        <v>12</v>
      </c>
      <c r="E1963" s="37">
        <v>0.77449999999999997</v>
      </c>
      <c r="F1963" s="31">
        <v>19.898499999999999</v>
      </c>
      <c r="G1963" s="31">
        <f t="shared" si="31"/>
        <v>15.411388249999998</v>
      </c>
      <c r="H1963" s="35"/>
      <c r="I1963" s="31"/>
      <c r="J1963" s="155">
        <v>0</v>
      </c>
    </row>
    <row r="1964" spans="1:10" ht="40.200000000000003" hidden="1" thickBot="1" x14ac:dyDescent="0.35">
      <c r="A1964" s="229"/>
      <c r="B1964" s="224"/>
      <c r="C1964" s="36" t="s">
        <v>661</v>
      </c>
      <c r="D1964" s="36" t="s">
        <v>147</v>
      </c>
      <c r="E1964" s="37">
        <v>1</v>
      </c>
      <c r="F1964" s="34" t="s">
        <v>560</v>
      </c>
      <c r="G1964" s="31" t="str">
        <f t="shared" si="31"/>
        <v/>
      </c>
      <c r="H1964" s="35"/>
      <c r="I1964" s="31"/>
      <c r="J1964" s="155">
        <v>0</v>
      </c>
    </row>
    <row r="1965" spans="1:10" ht="15" hidden="1" thickBot="1" x14ac:dyDescent="0.35">
      <c r="A1965" s="229"/>
      <c r="B1965" s="224"/>
      <c r="C1965" s="36" t="s">
        <v>410</v>
      </c>
      <c r="D1965" s="47" t="s">
        <v>292</v>
      </c>
      <c r="E1965" s="37">
        <v>9.4999999999999998E-3</v>
      </c>
      <c r="F1965" s="34">
        <v>11.4665</v>
      </c>
      <c r="G1965" s="31">
        <f t="shared" si="31"/>
        <v>0.10893174999999999</v>
      </c>
      <c r="H1965" s="35"/>
      <c r="I1965" s="31"/>
      <c r="J1965" s="155">
        <v>0</v>
      </c>
    </row>
    <row r="1966" spans="1:10" ht="15" hidden="1" thickBot="1" x14ac:dyDescent="0.35">
      <c r="A1966" s="230"/>
      <c r="B1966" s="225"/>
      <c r="C1966" s="36"/>
      <c r="D1966" s="36"/>
      <c r="E1966" s="37"/>
      <c r="F1966" s="31" t="s">
        <v>560</v>
      </c>
      <c r="G1966" s="31" t="str">
        <f t="shared" si="31"/>
        <v/>
      </c>
      <c r="H1966" s="35"/>
      <c r="I1966" s="31"/>
      <c r="J1966" s="155">
        <v>0</v>
      </c>
    </row>
    <row r="1967" spans="1:10" ht="15" hidden="1" thickBot="1" x14ac:dyDescent="0.35">
      <c r="A1967" s="226" t="s">
        <v>662</v>
      </c>
      <c r="B1967" s="223" t="e">
        <f>INDEX(#REF!,MATCH(Composições!A1967,#REF!,0),2)</f>
        <v>#REF!</v>
      </c>
      <c r="C1967" s="41"/>
      <c r="D1967" s="26" t="e">
        <f>TRIM(INDEX(#REF!,MATCH(Composições!A1967,#REF!,0),1))</f>
        <v>#REF!</v>
      </c>
      <c r="E1967" s="27"/>
      <c r="F1967" s="42" t="s">
        <v>560</v>
      </c>
      <c r="G1967" s="28" t="str">
        <f t="shared" si="31"/>
        <v/>
      </c>
      <c r="H1967" s="29"/>
      <c r="I1967" s="30"/>
      <c r="J1967" s="155">
        <v>0</v>
      </c>
    </row>
    <row r="1968" spans="1:10" ht="15" hidden="1" thickBot="1" x14ac:dyDescent="0.35">
      <c r="A1968" s="229"/>
      <c r="B1968" s="224"/>
      <c r="C1968" s="32"/>
      <c r="D1968" s="32"/>
      <c r="E1968" s="33"/>
      <c r="F1968" s="43" t="s">
        <v>560</v>
      </c>
      <c r="G1968" s="31" t="str">
        <f t="shared" si="31"/>
        <v/>
      </c>
      <c r="H1968" s="35"/>
      <c r="I1968" s="31"/>
      <c r="J1968" s="155">
        <v>0</v>
      </c>
    </row>
    <row r="1969" spans="1:10" ht="15" hidden="1" thickBot="1" x14ac:dyDescent="0.35">
      <c r="A1969" s="229"/>
      <c r="B1969" s="224"/>
      <c r="C1969" s="36" t="s">
        <v>108</v>
      </c>
      <c r="D1969" s="47" t="s">
        <v>12</v>
      </c>
      <c r="E1969" s="37">
        <v>0.77449999999999997</v>
      </c>
      <c r="F1969" s="31">
        <v>15.4955</v>
      </c>
      <c r="G1969" s="31">
        <f t="shared" si="31"/>
        <v>12.001264749999999</v>
      </c>
      <c r="H1969" s="39">
        <f>SUM(G1969:G1972)</f>
        <v>27.521584749999999</v>
      </c>
      <c r="I1969" s="40"/>
      <c r="J1969" s="155">
        <v>0</v>
      </c>
    </row>
    <row r="1970" spans="1:10" ht="15" hidden="1" thickBot="1" x14ac:dyDescent="0.35">
      <c r="A1970" s="229"/>
      <c r="B1970" s="224"/>
      <c r="C1970" s="36" t="s">
        <v>39</v>
      </c>
      <c r="D1970" s="47" t="s">
        <v>12</v>
      </c>
      <c r="E1970" s="37">
        <v>0.77449999999999997</v>
      </c>
      <c r="F1970" s="31">
        <v>19.898499999999999</v>
      </c>
      <c r="G1970" s="31">
        <f t="shared" si="31"/>
        <v>15.411388249999998</v>
      </c>
      <c r="H1970" s="35"/>
      <c r="I1970" s="31"/>
      <c r="J1970" s="155">
        <v>0</v>
      </c>
    </row>
    <row r="1971" spans="1:10" ht="40.200000000000003" hidden="1" thickBot="1" x14ac:dyDescent="0.35">
      <c r="A1971" s="229"/>
      <c r="B1971" s="224"/>
      <c r="C1971" s="36" t="s">
        <v>663</v>
      </c>
      <c r="D1971" s="36" t="s">
        <v>147</v>
      </c>
      <c r="E1971" s="37">
        <v>1</v>
      </c>
      <c r="F1971" s="34" t="s">
        <v>560</v>
      </c>
      <c r="G1971" s="31" t="str">
        <f t="shared" si="31"/>
        <v/>
      </c>
      <c r="H1971" s="35"/>
      <c r="I1971" s="31"/>
      <c r="J1971" s="155">
        <v>0</v>
      </c>
    </row>
    <row r="1972" spans="1:10" ht="15" hidden="1" thickBot="1" x14ac:dyDescent="0.35">
      <c r="A1972" s="229"/>
      <c r="B1972" s="224"/>
      <c r="C1972" s="36" t="s">
        <v>410</v>
      </c>
      <c r="D1972" s="47" t="s">
        <v>292</v>
      </c>
      <c r="E1972" s="37">
        <v>9.4999999999999998E-3</v>
      </c>
      <c r="F1972" s="34">
        <v>11.4665</v>
      </c>
      <c r="G1972" s="31">
        <f t="shared" si="31"/>
        <v>0.10893174999999999</v>
      </c>
      <c r="H1972" s="35"/>
      <c r="I1972" s="31"/>
      <c r="J1972" s="155">
        <v>0</v>
      </c>
    </row>
    <row r="1973" spans="1:10" ht="15" hidden="1" thickBot="1" x14ac:dyDescent="0.35">
      <c r="A1973" s="230"/>
      <c r="B1973" s="225"/>
      <c r="C1973" s="36"/>
      <c r="D1973" s="36"/>
      <c r="E1973" s="37"/>
      <c r="F1973" s="31" t="s">
        <v>560</v>
      </c>
      <c r="G1973" s="31" t="str">
        <f t="shared" si="31"/>
        <v/>
      </c>
      <c r="H1973" s="35"/>
      <c r="I1973" s="31"/>
      <c r="J1973" s="155">
        <v>0</v>
      </c>
    </row>
    <row r="1974" spans="1:10" ht="15" hidden="1" thickBot="1" x14ac:dyDescent="0.35">
      <c r="A1974" s="226" t="s">
        <v>664</v>
      </c>
      <c r="B1974" s="223" t="e">
        <f>INDEX(#REF!,MATCH(Composições!A1974,#REF!,0),2)</f>
        <v>#REF!</v>
      </c>
      <c r="C1974" s="41"/>
      <c r="D1974" s="26" t="e">
        <f>TRIM(INDEX(#REF!,MATCH(Composições!A1974,#REF!,0),1))</f>
        <v>#REF!</v>
      </c>
      <c r="E1974" s="27"/>
      <c r="F1974" s="42" t="s">
        <v>560</v>
      </c>
      <c r="G1974" s="28" t="str">
        <f t="shared" si="31"/>
        <v/>
      </c>
      <c r="H1974" s="29"/>
      <c r="I1974" s="30"/>
      <c r="J1974" s="155">
        <v>0</v>
      </c>
    </row>
    <row r="1975" spans="1:10" ht="15" hidden="1" thickBot="1" x14ac:dyDescent="0.35">
      <c r="A1975" s="229"/>
      <c r="B1975" s="224"/>
      <c r="C1975" s="32"/>
      <c r="D1975" s="32"/>
      <c r="E1975" s="33"/>
      <c r="F1975" s="43" t="s">
        <v>560</v>
      </c>
      <c r="G1975" s="31" t="str">
        <f t="shared" si="31"/>
        <v/>
      </c>
      <c r="H1975" s="35"/>
      <c r="I1975" s="31"/>
      <c r="J1975" s="155">
        <v>0</v>
      </c>
    </row>
    <row r="1976" spans="1:10" ht="15" hidden="1" thickBot="1" x14ac:dyDescent="0.35">
      <c r="A1976" s="229"/>
      <c r="B1976" s="224"/>
      <c r="C1976" s="36" t="s">
        <v>108</v>
      </c>
      <c r="D1976" s="47" t="s">
        <v>12</v>
      </c>
      <c r="E1976" s="37">
        <v>0.77449999999999997</v>
      </c>
      <c r="F1976" s="31">
        <v>15.4955</v>
      </c>
      <c r="G1976" s="31">
        <f t="shared" si="31"/>
        <v>12.001264749999999</v>
      </c>
      <c r="H1976" s="39">
        <f>SUM(G1976:G1980)</f>
        <v>27.521584749999999</v>
      </c>
      <c r="I1976" s="40"/>
      <c r="J1976" s="155">
        <v>0</v>
      </c>
    </row>
    <row r="1977" spans="1:10" ht="15" hidden="1" thickBot="1" x14ac:dyDescent="0.35">
      <c r="A1977" s="229"/>
      <c r="B1977" s="224"/>
      <c r="C1977" s="36" t="s">
        <v>39</v>
      </c>
      <c r="D1977" s="47" t="s">
        <v>12</v>
      </c>
      <c r="E1977" s="37">
        <v>0.77449999999999997</v>
      </c>
      <c r="F1977" s="31">
        <v>19.898499999999999</v>
      </c>
      <c r="G1977" s="31">
        <f t="shared" si="31"/>
        <v>15.411388249999998</v>
      </c>
      <c r="H1977" s="35"/>
      <c r="I1977" s="31"/>
      <c r="J1977" s="155">
        <v>0</v>
      </c>
    </row>
    <row r="1978" spans="1:10" ht="15" hidden="1" thickBot="1" x14ac:dyDescent="0.35">
      <c r="A1978" s="229"/>
      <c r="B1978" s="224"/>
      <c r="C1978" s="36" t="s">
        <v>410</v>
      </c>
      <c r="D1978" s="47" t="s">
        <v>292</v>
      </c>
      <c r="E1978" s="37">
        <v>9.4999999999999998E-3</v>
      </c>
      <c r="F1978" s="34">
        <v>11.4665</v>
      </c>
      <c r="G1978" s="31">
        <f t="shared" si="31"/>
        <v>0.10893174999999999</v>
      </c>
      <c r="H1978" s="35"/>
      <c r="I1978" s="31"/>
      <c r="J1978" s="155">
        <v>0</v>
      </c>
    </row>
    <row r="1979" spans="1:10" ht="40.200000000000003" hidden="1" thickBot="1" x14ac:dyDescent="0.35">
      <c r="A1979" s="229"/>
      <c r="B1979" s="224"/>
      <c r="C1979" s="36" t="s">
        <v>665</v>
      </c>
      <c r="D1979" s="36" t="s">
        <v>147</v>
      </c>
      <c r="E1979" s="37">
        <v>1</v>
      </c>
      <c r="F1979" s="34" t="s">
        <v>560</v>
      </c>
      <c r="G1979" s="31" t="str">
        <f t="shared" si="31"/>
        <v/>
      </c>
      <c r="H1979" s="35"/>
      <c r="I1979" s="31"/>
      <c r="J1979" s="155">
        <v>0</v>
      </c>
    </row>
    <row r="1980" spans="1:10" ht="40.200000000000003" hidden="1" thickBot="1" x14ac:dyDescent="0.35">
      <c r="A1980" s="229"/>
      <c r="B1980" s="224"/>
      <c r="C1980" s="36" t="s">
        <v>666</v>
      </c>
      <c r="D1980" s="36" t="s">
        <v>147</v>
      </c>
      <c r="E1980" s="37">
        <v>1</v>
      </c>
      <c r="F1980" s="34" t="s">
        <v>560</v>
      </c>
      <c r="G1980" s="31" t="str">
        <f t="shared" si="31"/>
        <v/>
      </c>
      <c r="H1980" s="35"/>
      <c r="I1980" s="31"/>
      <c r="J1980" s="155">
        <v>0</v>
      </c>
    </row>
    <row r="1981" spans="1:10" ht="15" hidden="1" thickBot="1" x14ac:dyDescent="0.35">
      <c r="A1981" s="230"/>
      <c r="B1981" s="225"/>
      <c r="C1981" s="36"/>
      <c r="D1981" s="36"/>
      <c r="E1981" s="37"/>
      <c r="F1981" s="31" t="s">
        <v>560</v>
      </c>
      <c r="G1981" s="31" t="str">
        <f t="shared" si="31"/>
        <v/>
      </c>
      <c r="H1981" s="35"/>
      <c r="I1981" s="31"/>
      <c r="J1981" s="155">
        <v>0</v>
      </c>
    </row>
    <row r="1982" spans="1:10" ht="15" hidden="1" thickBot="1" x14ac:dyDescent="0.35">
      <c r="A1982" s="226" t="s">
        <v>667</v>
      </c>
      <c r="B1982" s="223" t="e">
        <f>INDEX(#REF!,MATCH(Composições!A1982,#REF!,0),2)</f>
        <v>#REF!</v>
      </c>
      <c r="C1982" s="41"/>
      <c r="D1982" s="26" t="e">
        <f>TRIM(INDEX(#REF!,MATCH(Composições!A1982,#REF!,0),1))</f>
        <v>#REF!</v>
      </c>
      <c r="E1982" s="27"/>
      <c r="F1982" s="42" t="s">
        <v>560</v>
      </c>
      <c r="G1982" s="28" t="str">
        <f t="shared" si="31"/>
        <v/>
      </c>
      <c r="H1982" s="29"/>
      <c r="I1982" s="30"/>
      <c r="J1982" s="155">
        <v>0</v>
      </c>
    </row>
    <row r="1983" spans="1:10" ht="15" hidden="1" thickBot="1" x14ac:dyDescent="0.35">
      <c r="A1983" s="229"/>
      <c r="B1983" s="224"/>
      <c r="C1983" s="32"/>
      <c r="D1983" s="32"/>
      <c r="E1983" s="33"/>
      <c r="F1983" s="43" t="s">
        <v>560</v>
      </c>
      <c r="G1983" s="31" t="str">
        <f t="shared" si="31"/>
        <v/>
      </c>
      <c r="H1983" s="35"/>
      <c r="I1983" s="31"/>
      <c r="J1983" s="155">
        <v>0</v>
      </c>
    </row>
    <row r="1984" spans="1:10" ht="15" hidden="1" thickBot="1" x14ac:dyDescent="0.35">
      <c r="A1984" s="229"/>
      <c r="B1984" s="224"/>
      <c r="C1984" s="36" t="s">
        <v>108</v>
      </c>
      <c r="D1984" s="47" t="s">
        <v>12</v>
      </c>
      <c r="E1984" s="37">
        <v>0.77449999999999997</v>
      </c>
      <c r="F1984" s="31">
        <v>15.4955</v>
      </c>
      <c r="G1984" s="31">
        <f t="shared" si="31"/>
        <v>12.001264749999999</v>
      </c>
      <c r="H1984" s="39">
        <f>SUM(G1984:G1988)</f>
        <v>27.521584749999999</v>
      </c>
      <c r="I1984" s="40"/>
      <c r="J1984" s="155">
        <v>0</v>
      </c>
    </row>
    <row r="1985" spans="1:10" ht="15" hidden="1" thickBot="1" x14ac:dyDescent="0.35">
      <c r="A1985" s="229"/>
      <c r="B1985" s="224"/>
      <c r="C1985" s="36" t="s">
        <v>39</v>
      </c>
      <c r="D1985" s="47" t="s">
        <v>12</v>
      </c>
      <c r="E1985" s="37">
        <v>0.77449999999999997</v>
      </c>
      <c r="F1985" s="31">
        <v>19.898499999999999</v>
      </c>
      <c r="G1985" s="31">
        <f t="shared" si="31"/>
        <v>15.411388249999998</v>
      </c>
      <c r="H1985" s="35"/>
      <c r="I1985" s="31"/>
      <c r="J1985" s="155">
        <v>0</v>
      </c>
    </row>
    <row r="1986" spans="1:10" ht="15" hidden="1" thickBot="1" x14ac:dyDescent="0.35">
      <c r="A1986" s="229"/>
      <c r="B1986" s="224"/>
      <c r="C1986" s="36" t="s">
        <v>410</v>
      </c>
      <c r="D1986" s="47" t="s">
        <v>292</v>
      </c>
      <c r="E1986" s="37">
        <v>9.4999999999999998E-3</v>
      </c>
      <c r="F1986" s="34">
        <v>11.4665</v>
      </c>
      <c r="G1986" s="31">
        <f t="shared" si="31"/>
        <v>0.10893174999999999</v>
      </c>
      <c r="H1986" s="35"/>
      <c r="I1986" s="31"/>
      <c r="J1986" s="155">
        <v>0</v>
      </c>
    </row>
    <row r="1987" spans="1:10" ht="40.200000000000003" hidden="1" thickBot="1" x14ac:dyDescent="0.35">
      <c r="A1987" s="229"/>
      <c r="B1987" s="224"/>
      <c r="C1987" s="36" t="s">
        <v>665</v>
      </c>
      <c r="D1987" s="36" t="s">
        <v>147</v>
      </c>
      <c r="E1987" s="37">
        <v>1</v>
      </c>
      <c r="F1987" s="34" t="s">
        <v>560</v>
      </c>
      <c r="G1987" s="31" t="str">
        <f t="shared" si="31"/>
        <v/>
      </c>
      <c r="H1987" s="35"/>
      <c r="I1987" s="31"/>
      <c r="J1987" s="155">
        <v>0</v>
      </c>
    </row>
    <row r="1988" spans="1:10" ht="40.200000000000003" hidden="1" thickBot="1" x14ac:dyDescent="0.35">
      <c r="A1988" s="229"/>
      <c r="B1988" s="224"/>
      <c r="C1988" s="36" t="s">
        <v>668</v>
      </c>
      <c r="D1988" s="36" t="s">
        <v>147</v>
      </c>
      <c r="E1988" s="37">
        <v>1</v>
      </c>
      <c r="F1988" s="34" t="s">
        <v>560</v>
      </c>
      <c r="G1988" s="31" t="str">
        <f t="shared" si="31"/>
        <v/>
      </c>
      <c r="H1988" s="35"/>
      <c r="I1988" s="31"/>
      <c r="J1988" s="155">
        <v>0</v>
      </c>
    </row>
    <row r="1989" spans="1:10" ht="15" hidden="1" thickBot="1" x14ac:dyDescent="0.35">
      <c r="A1989" s="230"/>
      <c r="B1989" s="225"/>
      <c r="C1989" s="36"/>
      <c r="D1989" s="36"/>
      <c r="E1989" s="37"/>
      <c r="F1989" s="31" t="s">
        <v>560</v>
      </c>
      <c r="G1989" s="31" t="str">
        <f t="shared" si="31"/>
        <v/>
      </c>
      <c r="H1989" s="35"/>
      <c r="I1989" s="31"/>
      <c r="J1989" s="155">
        <v>0</v>
      </c>
    </row>
    <row r="1990" spans="1:10" ht="15" hidden="1" thickBot="1" x14ac:dyDescent="0.35">
      <c r="A1990" s="226" t="s">
        <v>669</v>
      </c>
      <c r="B1990" s="223" t="e">
        <f>INDEX(#REF!,MATCH(Composições!A1990,#REF!,0),2)</f>
        <v>#REF!</v>
      </c>
      <c r="C1990" s="41"/>
      <c r="D1990" s="26" t="e">
        <f>TRIM(INDEX(#REF!,MATCH(Composições!A1990,#REF!,0),1))</f>
        <v>#REF!</v>
      </c>
      <c r="E1990" s="27"/>
      <c r="F1990" s="42" t="s">
        <v>560</v>
      </c>
      <c r="G1990" s="28" t="str">
        <f t="shared" si="31"/>
        <v/>
      </c>
      <c r="H1990" s="29"/>
      <c r="I1990" s="30"/>
      <c r="J1990" s="155">
        <v>0</v>
      </c>
    </row>
    <row r="1991" spans="1:10" ht="15" hidden="1" thickBot="1" x14ac:dyDescent="0.35">
      <c r="A1991" s="229"/>
      <c r="B1991" s="224"/>
      <c r="C1991" s="32"/>
      <c r="D1991" s="32"/>
      <c r="E1991" s="33"/>
      <c r="F1991" s="43" t="s">
        <v>560</v>
      </c>
      <c r="G1991" s="31" t="str">
        <f t="shared" si="31"/>
        <v/>
      </c>
      <c r="H1991" s="35"/>
      <c r="I1991" s="31"/>
      <c r="J1991" s="155">
        <v>0</v>
      </c>
    </row>
    <row r="1992" spans="1:10" ht="15" hidden="1" thickBot="1" x14ac:dyDescent="0.35">
      <c r="A1992" s="229"/>
      <c r="B1992" s="224"/>
      <c r="C1992" s="36" t="s">
        <v>410</v>
      </c>
      <c r="D1992" s="47" t="s">
        <v>292</v>
      </c>
      <c r="E1992" s="37">
        <v>1.9E-2</v>
      </c>
      <c r="F1992" s="34">
        <v>11.4665</v>
      </c>
      <c r="G1992" s="31">
        <f t="shared" si="31"/>
        <v>0.21786349999999999</v>
      </c>
      <c r="H1992" s="39">
        <f>SUM(G1992:G1995)</f>
        <v>138.87322949999998</v>
      </c>
      <c r="I1992" s="40"/>
      <c r="J1992" s="155">
        <v>0</v>
      </c>
    </row>
    <row r="1993" spans="1:10" ht="15" hidden="1" thickBot="1" x14ac:dyDescent="0.35">
      <c r="A1993" s="229"/>
      <c r="B1993" s="224"/>
      <c r="C1993" s="36" t="s">
        <v>670</v>
      </c>
      <c r="D1993" s="47" t="s">
        <v>20</v>
      </c>
      <c r="E1993" s="37">
        <v>1</v>
      </c>
      <c r="F1993" s="34">
        <v>110.7295</v>
      </c>
      <c r="G1993" s="31">
        <f t="shared" si="31"/>
        <v>110.7295</v>
      </c>
      <c r="H1993" s="35"/>
      <c r="I1993" s="31"/>
      <c r="J1993" s="155">
        <v>0</v>
      </c>
    </row>
    <row r="1994" spans="1:10" ht="15" hidden="1" thickBot="1" x14ac:dyDescent="0.35">
      <c r="A1994" s="229"/>
      <c r="B1994" s="224"/>
      <c r="C1994" s="36" t="s">
        <v>108</v>
      </c>
      <c r="D1994" s="47" t="s">
        <v>12</v>
      </c>
      <c r="E1994" s="37">
        <v>0.78900000000000003</v>
      </c>
      <c r="F1994" s="31">
        <v>15.4955</v>
      </c>
      <c r="G1994" s="34">
        <f t="shared" si="31"/>
        <v>12.2259495</v>
      </c>
      <c r="H1994" s="35"/>
      <c r="I1994" s="31"/>
      <c r="J1994" s="155">
        <v>0</v>
      </c>
    </row>
    <row r="1995" spans="1:10" ht="15" hidden="1" thickBot="1" x14ac:dyDescent="0.35">
      <c r="A1995" s="229"/>
      <c r="B1995" s="224"/>
      <c r="C1995" s="36" t="s">
        <v>39</v>
      </c>
      <c r="D1995" s="47" t="s">
        <v>12</v>
      </c>
      <c r="E1995" s="37">
        <v>0.78900000000000003</v>
      </c>
      <c r="F1995" s="31">
        <v>19.898499999999999</v>
      </c>
      <c r="G1995" s="34">
        <f t="shared" si="31"/>
        <v>15.699916499999999</v>
      </c>
      <c r="H1995" s="35"/>
      <c r="I1995" s="31"/>
      <c r="J1995" s="155">
        <v>0</v>
      </c>
    </row>
    <row r="1996" spans="1:10" ht="15" hidden="1" thickBot="1" x14ac:dyDescent="0.35">
      <c r="A1996" s="230"/>
      <c r="B1996" s="225"/>
      <c r="C1996" s="36"/>
      <c r="D1996" s="36"/>
      <c r="E1996" s="37"/>
      <c r="F1996" s="31" t="s">
        <v>560</v>
      </c>
      <c r="G1996" s="31" t="str">
        <f t="shared" si="31"/>
        <v/>
      </c>
      <c r="H1996" s="35"/>
      <c r="I1996" s="31"/>
      <c r="J1996" s="155">
        <v>0</v>
      </c>
    </row>
    <row r="1997" spans="1:10" ht="15" hidden="1" thickBot="1" x14ac:dyDescent="0.35">
      <c r="A1997" s="226" t="s">
        <v>671</v>
      </c>
      <c r="B1997" s="223" t="e">
        <f>INDEX(#REF!,MATCH(Composições!A1997,#REF!,0),2)</f>
        <v>#REF!</v>
      </c>
      <c r="C1997" s="41"/>
      <c r="D1997" s="26" t="e">
        <f>TRIM(INDEX(#REF!,MATCH(Composições!A1997,#REF!,0),1))</f>
        <v>#REF!</v>
      </c>
      <c r="E1997" s="27"/>
      <c r="F1997" s="42" t="s">
        <v>560</v>
      </c>
      <c r="G1997" s="28" t="str">
        <f t="shared" si="31"/>
        <v/>
      </c>
      <c r="H1997" s="29"/>
      <c r="I1997" s="30"/>
      <c r="J1997" s="155">
        <v>0</v>
      </c>
    </row>
    <row r="1998" spans="1:10" ht="15" hidden="1" thickBot="1" x14ac:dyDescent="0.35">
      <c r="A1998" s="229"/>
      <c r="B1998" s="224"/>
      <c r="C1998" s="32"/>
      <c r="D1998" s="32"/>
      <c r="E1998" s="33"/>
      <c r="F1998" s="43" t="s">
        <v>560</v>
      </c>
      <c r="G1998" s="31" t="str">
        <f t="shared" si="31"/>
        <v/>
      </c>
      <c r="H1998" s="35"/>
      <c r="I1998" s="31"/>
      <c r="J1998" s="155">
        <v>0</v>
      </c>
    </row>
    <row r="1999" spans="1:10" ht="15" hidden="1" thickBot="1" x14ac:dyDescent="0.35">
      <c r="A1999" s="229"/>
      <c r="B1999" s="224"/>
      <c r="C1999" s="36" t="s">
        <v>410</v>
      </c>
      <c r="D1999" s="47" t="s">
        <v>292</v>
      </c>
      <c r="E1999" s="37">
        <v>1.9E-2</v>
      </c>
      <c r="F1999" s="34">
        <v>11.4665</v>
      </c>
      <c r="G1999" s="31">
        <f t="shared" si="31"/>
        <v>0.21786349999999999</v>
      </c>
      <c r="H1999" s="39">
        <f>SUM(G1999:G2002)</f>
        <v>120.02872949999998</v>
      </c>
      <c r="I1999" s="40"/>
      <c r="J1999" s="155">
        <v>0</v>
      </c>
    </row>
    <row r="2000" spans="1:10" ht="15" hidden="1" thickBot="1" x14ac:dyDescent="0.35">
      <c r="A2000" s="229"/>
      <c r="B2000" s="224"/>
      <c r="C2000" s="36" t="s">
        <v>672</v>
      </c>
      <c r="D2000" s="47" t="s">
        <v>20</v>
      </c>
      <c r="E2000" s="37">
        <v>1</v>
      </c>
      <c r="F2000" s="34">
        <v>91.884999999999991</v>
      </c>
      <c r="G2000" s="31">
        <f t="shared" si="31"/>
        <v>91.884999999999991</v>
      </c>
      <c r="H2000" s="35"/>
      <c r="I2000" s="31"/>
      <c r="J2000" s="155">
        <v>0</v>
      </c>
    </row>
    <row r="2001" spans="1:10" ht="15" hidden="1" thickBot="1" x14ac:dyDescent="0.35">
      <c r="A2001" s="229"/>
      <c r="B2001" s="224"/>
      <c r="C2001" s="36" t="s">
        <v>108</v>
      </c>
      <c r="D2001" s="47" t="s">
        <v>12</v>
      </c>
      <c r="E2001" s="37">
        <v>0.78900000000000003</v>
      </c>
      <c r="F2001" s="31">
        <v>15.4955</v>
      </c>
      <c r="G2001" s="34">
        <f t="shared" si="31"/>
        <v>12.2259495</v>
      </c>
      <c r="H2001" s="35"/>
      <c r="I2001" s="31"/>
      <c r="J2001" s="155">
        <v>0</v>
      </c>
    </row>
    <row r="2002" spans="1:10" ht="15" hidden="1" thickBot="1" x14ac:dyDescent="0.35">
      <c r="A2002" s="229"/>
      <c r="B2002" s="224"/>
      <c r="C2002" s="36" t="s">
        <v>39</v>
      </c>
      <c r="D2002" s="47" t="s">
        <v>12</v>
      </c>
      <c r="E2002" s="37">
        <v>0.78900000000000003</v>
      </c>
      <c r="F2002" s="31">
        <v>19.898499999999999</v>
      </c>
      <c r="G2002" s="34">
        <f t="shared" ref="G2002:G2065" si="32">IF(ISNUMBER(F2002),E2002*F2002,"")</f>
        <v>15.699916499999999</v>
      </c>
      <c r="H2002" s="35"/>
      <c r="I2002" s="31"/>
      <c r="J2002" s="155">
        <v>0</v>
      </c>
    </row>
    <row r="2003" spans="1:10" ht="15" hidden="1" thickBot="1" x14ac:dyDescent="0.35">
      <c r="A2003" s="230"/>
      <c r="B2003" s="225"/>
      <c r="C2003" s="36"/>
      <c r="D2003" s="36"/>
      <c r="E2003" s="37"/>
      <c r="F2003" s="31" t="s">
        <v>560</v>
      </c>
      <c r="G2003" s="31" t="str">
        <f t="shared" si="32"/>
        <v/>
      </c>
      <c r="H2003" s="35"/>
      <c r="I2003" s="31"/>
      <c r="J2003" s="155">
        <v>0</v>
      </c>
    </row>
    <row r="2004" spans="1:10" ht="15" hidden="1" thickBot="1" x14ac:dyDescent="0.35">
      <c r="A2004" s="226" t="s">
        <v>673</v>
      </c>
      <c r="B2004" s="223" t="e">
        <f>INDEX(#REF!,MATCH(Composições!A2004,#REF!,0),2)</f>
        <v>#REF!</v>
      </c>
      <c r="C2004" s="41"/>
      <c r="D2004" s="26" t="e">
        <f>TRIM(INDEX(#REF!,MATCH(Composições!A2004,#REF!,0),1))</f>
        <v>#REF!</v>
      </c>
      <c r="E2004" s="27"/>
      <c r="F2004" s="42" t="s">
        <v>560</v>
      </c>
      <c r="G2004" s="28" t="str">
        <f t="shared" si="32"/>
        <v/>
      </c>
      <c r="H2004" s="29"/>
      <c r="I2004" s="30"/>
      <c r="J2004" s="155">
        <v>0</v>
      </c>
    </row>
    <row r="2005" spans="1:10" ht="15" hidden="1" thickBot="1" x14ac:dyDescent="0.35">
      <c r="A2005" s="229"/>
      <c r="B2005" s="224"/>
      <c r="C2005" s="32"/>
      <c r="D2005" s="32"/>
      <c r="E2005" s="33"/>
      <c r="F2005" s="43" t="s">
        <v>560</v>
      </c>
      <c r="G2005" s="31" t="str">
        <f t="shared" si="32"/>
        <v/>
      </c>
      <c r="H2005" s="35"/>
      <c r="I2005" s="31"/>
      <c r="J2005" s="155">
        <v>0</v>
      </c>
    </row>
    <row r="2006" spans="1:10" ht="15" hidden="1" thickBot="1" x14ac:dyDescent="0.35">
      <c r="A2006" s="229"/>
      <c r="B2006" s="224"/>
      <c r="C2006" s="36" t="s">
        <v>410</v>
      </c>
      <c r="D2006" s="47" t="s">
        <v>292</v>
      </c>
      <c r="E2006" s="37">
        <v>9.4999999999999998E-3</v>
      </c>
      <c r="F2006" s="34">
        <v>11.4665</v>
      </c>
      <c r="G2006" s="31">
        <f t="shared" si="32"/>
        <v>0.10893174999999999</v>
      </c>
      <c r="H2006" s="39">
        <f>SUM(G2006:G2009)</f>
        <v>89.17208475000001</v>
      </c>
      <c r="I2006" s="40"/>
      <c r="J2006" s="155">
        <v>0</v>
      </c>
    </row>
    <row r="2007" spans="1:10" ht="15" hidden="1" thickBot="1" x14ac:dyDescent="0.35">
      <c r="A2007" s="229"/>
      <c r="B2007" s="224"/>
      <c r="C2007" s="36" t="s">
        <v>674</v>
      </c>
      <c r="D2007" s="47" t="s">
        <v>20</v>
      </c>
      <c r="E2007" s="37">
        <v>1</v>
      </c>
      <c r="F2007" s="34">
        <v>61.650500000000001</v>
      </c>
      <c r="G2007" s="31">
        <f t="shared" si="32"/>
        <v>61.650500000000001</v>
      </c>
      <c r="H2007" s="35"/>
      <c r="I2007" s="31"/>
      <c r="J2007" s="155">
        <v>0</v>
      </c>
    </row>
    <row r="2008" spans="1:10" ht="15" hidden="1" thickBot="1" x14ac:dyDescent="0.35">
      <c r="A2008" s="229"/>
      <c r="B2008" s="224"/>
      <c r="C2008" s="36" t="s">
        <v>108</v>
      </c>
      <c r="D2008" s="36" t="s">
        <v>12</v>
      </c>
      <c r="E2008" s="37">
        <v>0.77449999999999997</v>
      </c>
      <c r="F2008" s="31">
        <v>15.4955</v>
      </c>
      <c r="G2008" s="34">
        <f t="shared" si="32"/>
        <v>12.001264749999999</v>
      </c>
      <c r="H2008" s="35"/>
      <c r="I2008" s="31"/>
      <c r="J2008" s="155">
        <v>0</v>
      </c>
    </row>
    <row r="2009" spans="1:10" ht="15" hidden="1" thickBot="1" x14ac:dyDescent="0.35">
      <c r="A2009" s="229"/>
      <c r="B2009" s="224"/>
      <c r="C2009" s="36" t="s">
        <v>39</v>
      </c>
      <c r="D2009" s="47" t="s">
        <v>12</v>
      </c>
      <c r="E2009" s="37">
        <v>0.77449999999999997</v>
      </c>
      <c r="F2009" s="31">
        <v>19.898499999999999</v>
      </c>
      <c r="G2009" s="34">
        <f t="shared" si="32"/>
        <v>15.411388249999998</v>
      </c>
      <c r="H2009" s="35"/>
      <c r="I2009" s="31"/>
      <c r="J2009" s="155">
        <v>0</v>
      </c>
    </row>
    <row r="2010" spans="1:10" ht="15" hidden="1" thickBot="1" x14ac:dyDescent="0.35">
      <c r="A2010" s="230"/>
      <c r="B2010" s="225"/>
      <c r="C2010" s="36"/>
      <c r="D2010" s="36"/>
      <c r="E2010" s="37"/>
      <c r="F2010" s="31" t="s">
        <v>560</v>
      </c>
      <c r="G2010" s="31" t="str">
        <f t="shared" si="32"/>
        <v/>
      </c>
      <c r="H2010" s="35"/>
      <c r="I2010" s="31"/>
      <c r="J2010" s="155">
        <v>0</v>
      </c>
    </row>
    <row r="2011" spans="1:10" ht="15" hidden="1" thickBot="1" x14ac:dyDescent="0.35">
      <c r="A2011" s="226" t="s">
        <v>675</v>
      </c>
      <c r="B2011" s="223" t="e">
        <f>INDEX(#REF!,MATCH(Composições!A2011,#REF!,0),2)</f>
        <v>#REF!</v>
      </c>
      <c r="C2011" s="41"/>
      <c r="D2011" s="26" t="e">
        <f>TRIM(INDEX(#REF!,MATCH(Composições!A2011,#REF!,0),1))</f>
        <v>#REF!</v>
      </c>
      <c r="E2011" s="27"/>
      <c r="F2011" s="42" t="s">
        <v>560</v>
      </c>
      <c r="G2011" s="28" t="str">
        <f t="shared" si="32"/>
        <v/>
      </c>
      <c r="H2011" s="29"/>
      <c r="I2011" s="30"/>
      <c r="J2011" s="155">
        <v>0</v>
      </c>
    </row>
    <row r="2012" spans="1:10" ht="15" hidden="1" thickBot="1" x14ac:dyDescent="0.35">
      <c r="A2012" s="229"/>
      <c r="B2012" s="224"/>
      <c r="C2012" s="32"/>
      <c r="D2012" s="32"/>
      <c r="E2012" s="33"/>
      <c r="F2012" s="43" t="s">
        <v>560</v>
      </c>
      <c r="G2012" s="31" t="str">
        <f t="shared" si="32"/>
        <v/>
      </c>
      <c r="H2012" s="35"/>
      <c r="I2012" s="31"/>
      <c r="J2012" s="155">
        <v>0</v>
      </c>
    </row>
    <row r="2013" spans="1:10" ht="15" hidden="1" thickBot="1" x14ac:dyDescent="0.35">
      <c r="A2013" s="229"/>
      <c r="B2013" s="224"/>
      <c r="C2013" s="36" t="s">
        <v>410</v>
      </c>
      <c r="D2013" s="47" t="s">
        <v>292</v>
      </c>
      <c r="E2013" s="37">
        <v>9.4999999999999998E-3</v>
      </c>
      <c r="F2013" s="34">
        <v>11.4665</v>
      </c>
      <c r="G2013" s="31">
        <f t="shared" si="32"/>
        <v>0.10893174999999999</v>
      </c>
      <c r="H2013" s="39">
        <f>SUM(G2013:G2016)</f>
        <v>73.183584749999994</v>
      </c>
      <c r="I2013" s="40"/>
      <c r="J2013" s="155">
        <v>0</v>
      </c>
    </row>
    <row r="2014" spans="1:10" ht="15" hidden="1" thickBot="1" x14ac:dyDescent="0.35">
      <c r="A2014" s="229"/>
      <c r="B2014" s="224"/>
      <c r="C2014" s="36" t="s">
        <v>676</v>
      </c>
      <c r="D2014" s="47" t="s">
        <v>20</v>
      </c>
      <c r="E2014" s="37">
        <v>1</v>
      </c>
      <c r="F2014" s="34">
        <v>45.661999999999999</v>
      </c>
      <c r="G2014" s="31">
        <f t="shared" si="32"/>
        <v>45.661999999999999</v>
      </c>
      <c r="H2014" s="35"/>
      <c r="I2014" s="31"/>
      <c r="J2014" s="155">
        <v>0</v>
      </c>
    </row>
    <row r="2015" spans="1:10" ht="15" hidden="1" thickBot="1" x14ac:dyDescent="0.35">
      <c r="A2015" s="229"/>
      <c r="B2015" s="224"/>
      <c r="C2015" s="36" t="s">
        <v>108</v>
      </c>
      <c r="D2015" s="36" t="s">
        <v>12</v>
      </c>
      <c r="E2015" s="37">
        <v>0.77449999999999997</v>
      </c>
      <c r="F2015" s="31">
        <v>15.4955</v>
      </c>
      <c r="G2015" s="34">
        <f t="shared" si="32"/>
        <v>12.001264749999999</v>
      </c>
      <c r="H2015" s="35"/>
      <c r="I2015" s="31"/>
      <c r="J2015" s="155">
        <v>0</v>
      </c>
    </row>
    <row r="2016" spans="1:10" ht="15" hidden="1" thickBot="1" x14ac:dyDescent="0.35">
      <c r="A2016" s="229"/>
      <c r="B2016" s="224"/>
      <c r="C2016" s="36" t="s">
        <v>39</v>
      </c>
      <c r="D2016" s="47" t="s">
        <v>12</v>
      </c>
      <c r="E2016" s="37">
        <v>0.77449999999999997</v>
      </c>
      <c r="F2016" s="31">
        <v>19.898499999999999</v>
      </c>
      <c r="G2016" s="34">
        <f t="shared" si="32"/>
        <v>15.411388249999998</v>
      </c>
      <c r="H2016" s="35"/>
      <c r="I2016" s="31"/>
      <c r="J2016" s="155">
        <v>0</v>
      </c>
    </row>
    <row r="2017" spans="1:10" ht="15" hidden="1" thickBot="1" x14ac:dyDescent="0.35">
      <c r="A2017" s="230"/>
      <c r="B2017" s="225"/>
      <c r="C2017" s="36"/>
      <c r="D2017" s="36"/>
      <c r="E2017" s="37"/>
      <c r="F2017" s="31" t="s">
        <v>560</v>
      </c>
      <c r="G2017" s="31" t="str">
        <f t="shared" si="32"/>
        <v/>
      </c>
      <c r="H2017" s="35"/>
      <c r="I2017" s="31"/>
      <c r="J2017" s="155">
        <v>0</v>
      </c>
    </row>
    <row r="2018" spans="1:10" ht="15" hidden="1" thickBot="1" x14ac:dyDescent="0.35">
      <c r="A2018" s="226" t="s">
        <v>677</v>
      </c>
      <c r="B2018" s="223" t="e">
        <f>INDEX(#REF!,MATCH(Composições!A2018,#REF!,0),2)</f>
        <v>#REF!</v>
      </c>
      <c r="C2018" s="41"/>
      <c r="D2018" s="26" t="e">
        <f>TRIM(INDEX(#REF!,MATCH(Composições!A2018,#REF!,0),1))</f>
        <v>#REF!</v>
      </c>
      <c r="E2018" s="27"/>
      <c r="F2018" s="42" t="s">
        <v>560</v>
      </c>
      <c r="G2018" s="28" t="str">
        <f t="shared" si="32"/>
        <v/>
      </c>
      <c r="H2018" s="29"/>
      <c r="I2018" s="30"/>
      <c r="J2018" s="155">
        <v>0</v>
      </c>
    </row>
    <row r="2019" spans="1:10" ht="15" hidden="1" thickBot="1" x14ac:dyDescent="0.35">
      <c r="A2019" s="229"/>
      <c r="B2019" s="224"/>
      <c r="C2019" s="32"/>
      <c r="D2019" s="32"/>
      <c r="E2019" s="33"/>
      <c r="F2019" s="43" t="s">
        <v>560</v>
      </c>
      <c r="G2019" s="31" t="str">
        <f t="shared" si="32"/>
        <v/>
      </c>
      <c r="H2019" s="35"/>
      <c r="I2019" s="31"/>
      <c r="J2019" s="155">
        <v>0</v>
      </c>
    </row>
    <row r="2020" spans="1:10" ht="15" hidden="1" thickBot="1" x14ac:dyDescent="0.35">
      <c r="A2020" s="229"/>
      <c r="B2020" s="224"/>
      <c r="C2020" s="36" t="s">
        <v>108</v>
      </c>
      <c r="D2020" s="47" t="s">
        <v>12</v>
      </c>
      <c r="E2020" s="37">
        <v>0.1</v>
      </c>
      <c r="F2020" s="31">
        <v>15.4955</v>
      </c>
      <c r="G2020" s="34">
        <f t="shared" si="32"/>
        <v>1.54955</v>
      </c>
      <c r="H2020" s="39">
        <f>SUM(G2020:G2022)</f>
        <v>3.5393999999999997</v>
      </c>
      <c r="I2020" s="40"/>
      <c r="J2020" s="155">
        <v>0</v>
      </c>
    </row>
    <row r="2021" spans="1:10" ht="15" hidden="1" thickBot="1" x14ac:dyDescent="0.35">
      <c r="A2021" s="229"/>
      <c r="B2021" s="224"/>
      <c r="C2021" s="36" t="s">
        <v>39</v>
      </c>
      <c r="D2021" s="47" t="s">
        <v>12</v>
      </c>
      <c r="E2021" s="37">
        <v>0.1</v>
      </c>
      <c r="F2021" s="31">
        <v>19.898499999999999</v>
      </c>
      <c r="G2021" s="34">
        <f t="shared" si="32"/>
        <v>1.9898499999999999</v>
      </c>
      <c r="H2021" s="35"/>
      <c r="I2021" s="31"/>
      <c r="J2021" s="155">
        <v>0</v>
      </c>
    </row>
    <row r="2022" spans="1:10" ht="27" hidden="1" thickBot="1" x14ac:dyDescent="0.35">
      <c r="A2022" s="229"/>
      <c r="B2022" s="224"/>
      <c r="C2022" s="36" t="s">
        <v>678</v>
      </c>
      <c r="D2022" s="47" t="s">
        <v>95</v>
      </c>
      <c r="E2022" s="37">
        <v>1.05</v>
      </c>
      <c r="F2022" s="34" t="s">
        <v>560</v>
      </c>
      <c r="G2022" s="34" t="str">
        <f t="shared" si="32"/>
        <v/>
      </c>
      <c r="H2022" s="35"/>
      <c r="I2022" s="31"/>
      <c r="J2022" s="155">
        <v>0</v>
      </c>
    </row>
    <row r="2023" spans="1:10" ht="15" hidden="1" thickBot="1" x14ac:dyDescent="0.35">
      <c r="A2023" s="230"/>
      <c r="B2023" s="225"/>
      <c r="C2023" s="36"/>
      <c r="D2023" s="36"/>
      <c r="E2023" s="37"/>
      <c r="F2023" s="31" t="s">
        <v>560</v>
      </c>
      <c r="G2023" s="31" t="str">
        <f t="shared" si="32"/>
        <v/>
      </c>
      <c r="H2023" s="35"/>
      <c r="I2023" s="31"/>
      <c r="J2023" s="155">
        <v>0</v>
      </c>
    </row>
    <row r="2024" spans="1:10" ht="15" hidden="1" thickBot="1" x14ac:dyDescent="0.35">
      <c r="A2024" s="226" t="s">
        <v>679</v>
      </c>
      <c r="B2024" s="223" t="e">
        <f>INDEX(#REF!,MATCH(Composições!A2024,#REF!,0),2)</f>
        <v>#REF!</v>
      </c>
      <c r="C2024" s="41"/>
      <c r="D2024" s="26" t="e">
        <f>TRIM(INDEX(#REF!,MATCH(Composições!A2024,#REF!,0),1))</f>
        <v>#REF!</v>
      </c>
      <c r="E2024" s="27"/>
      <c r="F2024" s="42" t="s">
        <v>560</v>
      </c>
      <c r="G2024" s="28" t="str">
        <f t="shared" si="32"/>
        <v/>
      </c>
      <c r="H2024" s="29"/>
      <c r="I2024" s="30"/>
      <c r="J2024" s="155">
        <v>0</v>
      </c>
    </row>
    <row r="2025" spans="1:10" ht="15" hidden="1" thickBot="1" x14ac:dyDescent="0.35">
      <c r="A2025" s="229"/>
      <c r="B2025" s="224"/>
      <c r="C2025" s="32"/>
      <c r="D2025" s="32"/>
      <c r="E2025" s="33"/>
      <c r="F2025" s="43" t="s">
        <v>560</v>
      </c>
      <c r="G2025" s="31" t="str">
        <f t="shared" si="32"/>
        <v/>
      </c>
      <c r="H2025" s="35"/>
      <c r="I2025" s="31"/>
      <c r="J2025" s="155">
        <v>0</v>
      </c>
    </row>
    <row r="2026" spans="1:10" ht="53.4" hidden="1" thickBot="1" x14ac:dyDescent="0.35">
      <c r="A2026" s="229"/>
      <c r="B2026" s="224"/>
      <c r="C2026" s="36" t="s">
        <v>680</v>
      </c>
      <c r="D2026" s="47" t="s">
        <v>93</v>
      </c>
      <c r="E2026" s="37">
        <v>1.0210999999999999</v>
      </c>
      <c r="F2026" s="34" t="s">
        <v>560</v>
      </c>
      <c r="G2026" s="34" t="str">
        <f t="shared" si="32"/>
        <v/>
      </c>
      <c r="H2026" s="39">
        <f>SUM(G2026:G2028)</f>
        <v>0.67956479999999986</v>
      </c>
      <c r="I2026" s="40"/>
      <c r="J2026" s="155">
        <v>0</v>
      </c>
    </row>
    <row r="2027" spans="1:10" ht="15" hidden="1" thickBot="1" x14ac:dyDescent="0.35">
      <c r="A2027" s="229"/>
      <c r="B2027" s="224"/>
      <c r="C2027" s="36" t="s">
        <v>108</v>
      </c>
      <c r="D2027" s="47" t="s">
        <v>12</v>
      </c>
      <c r="E2027" s="37">
        <f>0.064*0.3</f>
        <v>1.9199999999999998E-2</v>
      </c>
      <c r="F2027" s="31">
        <v>15.4955</v>
      </c>
      <c r="G2027" s="34">
        <f t="shared" si="32"/>
        <v>0.29751359999999999</v>
      </c>
      <c r="H2027" s="35"/>
      <c r="I2027" s="31"/>
      <c r="J2027" s="155">
        <v>0</v>
      </c>
    </row>
    <row r="2028" spans="1:10" ht="15" hidden="1" thickBot="1" x14ac:dyDescent="0.35">
      <c r="A2028" s="229"/>
      <c r="B2028" s="224"/>
      <c r="C2028" s="36" t="s">
        <v>39</v>
      </c>
      <c r="D2028" s="47" t="s">
        <v>12</v>
      </c>
      <c r="E2028" s="37">
        <f>0.064*0.3</f>
        <v>1.9199999999999998E-2</v>
      </c>
      <c r="F2028" s="31">
        <v>19.898499999999999</v>
      </c>
      <c r="G2028" s="34">
        <f t="shared" si="32"/>
        <v>0.38205119999999992</v>
      </c>
      <c r="H2028" s="35"/>
      <c r="I2028" s="31"/>
      <c r="J2028" s="155">
        <v>0</v>
      </c>
    </row>
    <row r="2029" spans="1:10" ht="15" hidden="1" thickBot="1" x14ac:dyDescent="0.35">
      <c r="A2029" s="229"/>
      <c r="B2029" s="224"/>
      <c r="C2029" s="36"/>
      <c r="D2029" s="47"/>
      <c r="E2029" s="37"/>
      <c r="F2029" s="34" t="s">
        <v>560</v>
      </c>
      <c r="G2029" s="34" t="str">
        <f t="shared" si="32"/>
        <v/>
      </c>
      <c r="H2029" s="35"/>
      <c r="I2029" s="31"/>
      <c r="J2029" s="155">
        <v>0</v>
      </c>
    </row>
    <row r="2030" spans="1:10" ht="40.200000000000003" hidden="1" thickBot="1" x14ac:dyDescent="0.35">
      <c r="A2030" s="229"/>
      <c r="B2030" s="224"/>
      <c r="C2030" s="52" t="s">
        <v>681</v>
      </c>
      <c r="D2030" s="47"/>
      <c r="E2030" s="37"/>
      <c r="F2030" s="34" t="s">
        <v>560</v>
      </c>
      <c r="G2030" s="34" t="str">
        <f t="shared" si="32"/>
        <v/>
      </c>
      <c r="H2030" s="35"/>
      <c r="I2030" s="31"/>
      <c r="J2030" s="155">
        <v>0</v>
      </c>
    </row>
    <row r="2031" spans="1:10" ht="15" hidden="1" thickBot="1" x14ac:dyDescent="0.35">
      <c r="A2031" s="230"/>
      <c r="B2031" s="225"/>
      <c r="C2031" s="36"/>
      <c r="D2031" s="36"/>
      <c r="E2031" s="37"/>
      <c r="F2031" s="31" t="s">
        <v>560</v>
      </c>
      <c r="G2031" s="31" t="str">
        <f t="shared" si="32"/>
        <v/>
      </c>
      <c r="H2031" s="35"/>
      <c r="I2031" s="31"/>
      <c r="J2031" s="155">
        <v>0</v>
      </c>
    </row>
    <row r="2032" spans="1:10" ht="15" hidden="1" thickBot="1" x14ac:dyDescent="0.35">
      <c r="A2032" s="226" t="s">
        <v>682</v>
      </c>
      <c r="B2032" s="223" t="e">
        <f>INDEX(#REF!,MATCH(Composições!A2032,#REF!,0),2)</f>
        <v>#REF!</v>
      </c>
      <c r="C2032" s="41"/>
      <c r="D2032" s="26" t="e">
        <f>TRIM(INDEX(#REF!,MATCH(Composições!A2032,#REF!,0),1))</f>
        <v>#REF!</v>
      </c>
      <c r="E2032" s="27"/>
      <c r="F2032" s="42" t="s">
        <v>560</v>
      </c>
      <c r="G2032" s="28" t="str">
        <f t="shared" si="32"/>
        <v/>
      </c>
      <c r="H2032" s="29"/>
      <c r="I2032" s="30"/>
      <c r="J2032" s="155">
        <v>0</v>
      </c>
    </row>
    <row r="2033" spans="1:10" ht="15" hidden="1" thickBot="1" x14ac:dyDescent="0.35">
      <c r="A2033" s="229"/>
      <c r="B2033" s="224"/>
      <c r="C2033" s="32"/>
      <c r="D2033" s="32"/>
      <c r="E2033" s="33"/>
      <c r="F2033" s="43" t="s">
        <v>560</v>
      </c>
      <c r="G2033" s="31" t="str">
        <f t="shared" si="32"/>
        <v/>
      </c>
      <c r="H2033" s="35"/>
      <c r="I2033" s="31"/>
      <c r="J2033" s="155">
        <v>0</v>
      </c>
    </row>
    <row r="2034" spans="1:10" ht="40.200000000000003" hidden="1" thickBot="1" x14ac:dyDescent="0.35">
      <c r="A2034" s="229"/>
      <c r="B2034" s="224"/>
      <c r="C2034" s="36" t="s">
        <v>683</v>
      </c>
      <c r="D2034" s="47" t="s">
        <v>93</v>
      </c>
      <c r="E2034" s="37">
        <v>1.0210999999999999</v>
      </c>
      <c r="F2034" s="34" t="s">
        <v>560</v>
      </c>
      <c r="G2034" s="34" t="str">
        <f t="shared" si="32"/>
        <v/>
      </c>
      <c r="H2034" s="39">
        <f>SUM(G2034:G2036)</f>
        <v>0.6477101999999999</v>
      </c>
      <c r="I2034" s="40"/>
      <c r="J2034" s="155">
        <v>0</v>
      </c>
    </row>
    <row r="2035" spans="1:10" ht="15" hidden="1" thickBot="1" x14ac:dyDescent="0.35">
      <c r="A2035" s="229"/>
      <c r="B2035" s="224"/>
      <c r="C2035" s="36" t="s">
        <v>108</v>
      </c>
      <c r="D2035" s="47" t="s">
        <v>12</v>
      </c>
      <c r="E2035" s="37">
        <f>0.061*0.3</f>
        <v>1.83E-2</v>
      </c>
      <c r="F2035" s="31">
        <v>15.4955</v>
      </c>
      <c r="G2035" s="34">
        <f t="shared" si="32"/>
        <v>0.28356765</v>
      </c>
      <c r="H2035" s="35"/>
      <c r="I2035" s="31"/>
      <c r="J2035" s="155">
        <v>0</v>
      </c>
    </row>
    <row r="2036" spans="1:10" ht="15" hidden="1" thickBot="1" x14ac:dyDescent="0.35">
      <c r="A2036" s="229"/>
      <c r="B2036" s="224"/>
      <c r="C2036" s="36" t="s">
        <v>39</v>
      </c>
      <c r="D2036" s="47" t="s">
        <v>12</v>
      </c>
      <c r="E2036" s="37">
        <f>0.061*0.3</f>
        <v>1.83E-2</v>
      </c>
      <c r="F2036" s="31">
        <v>19.898499999999999</v>
      </c>
      <c r="G2036" s="34">
        <f t="shared" si="32"/>
        <v>0.36414254999999995</v>
      </c>
      <c r="H2036" s="35"/>
      <c r="I2036" s="31"/>
      <c r="J2036" s="155">
        <v>0</v>
      </c>
    </row>
    <row r="2037" spans="1:10" ht="15" hidden="1" thickBot="1" x14ac:dyDescent="0.35">
      <c r="A2037" s="229"/>
      <c r="B2037" s="224"/>
      <c r="C2037" s="36"/>
      <c r="D2037" s="47"/>
      <c r="E2037" s="37"/>
      <c r="F2037" s="34" t="s">
        <v>560</v>
      </c>
      <c r="G2037" s="34" t="str">
        <f t="shared" si="32"/>
        <v/>
      </c>
      <c r="H2037" s="35"/>
      <c r="I2037" s="31"/>
      <c r="J2037" s="155">
        <v>0</v>
      </c>
    </row>
    <row r="2038" spans="1:10" ht="40.200000000000003" hidden="1" thickBot="1" x14ac:dyDescent="0.35">
      <c r="A2038" s="229"/>
      <c r="B2038" s="224"/>
      <c r="C2038" s="52" t="s">
        <v>681</v>
      </c>
      <c r="D2038" s="47"/>
      <c r="E2038" s="37"/>
      <c r="F2038" s="34" t="s">
        <v>560</v>
      </c>
      <c r="G2038" s="34" t="str">
        <f t="shared" si="32"/>
        <v/>
      </c>
      <c r="H2038" s="35"/>
      <c r="I2038" s="31"/>
      <c r="J2038" s="155">
        <v>0</v>
      </c>
    </row>
    <row r="2039" spans="1:10" ht="15" hidden="1" thickBot="1" x14ac:dyDescent="0.35">
      <c r="A2039" s="230"/>
      <c r="B2039" s="225"/>
      <c r="C2039" s="36"/>
      <c r="D2039" s="36"/>
      <c r="E2039" s="37"/>
      <c r="F2039" s="31" t="s">
        <v>560</v>
      </c>
      <c r="G2039" s="31" t="str">
        <f t="shared" si="32"/>
        <v/>
      </c>
      <c r="H2039" s="35"/>
      <c r="I2039" s="31"/>
      <c r="J2039" s="155">
        <v>0</v>
      </c>
    </row>
    <row r="2040" spans="1:10" ht="15" hidden="1" thickBot="1" x14ac:dyDescent="0.35">
      <c r="A2040" s="226" t="s">
        <v>684</v>
      </c>
      <c r="B2040" s="223" t="e">
        <f>INDEX(#REF!,MATCH(Composições!A2040,#REF!,0),2)</f>
        <v>#REF!</v>
      </c>
      <c r="C2040" s="41"/>
      <c r="D2040" s="26" t="e">
        <f>TRIM(INDEX(#REF!,MATCH(Composições!A2040,#REF!,0),1))</f>
        <v>#REF!</v>
      </c>
      <c r="E2040" s="27"/>
      <c r="F2040" s="42" t="s">
        <v>560</v>
      </c>
      <c r="G2040" s="28" t="str">
        <f t="shared" si="32"/>
        <v/>
      </c>
      <c r="H2040" s="29"/>
      <c r="I2040" s="30"/>
      <c r="J2040" s="155">
        <v>0</v>
      </c>
    </row>
    <row r="2041" spans="1:10" ht="15" hidden="1" thickBot="1" x14ac:dyDescent="0.35">
      <c r="A2041" s="229"/>
      <c r="B2041" s="224"/>
      <c r="C2041" s="32"/>
      <c r="D2041" s="32"/>
      <c r="E2041" s="33"/>
      <c r="F2041" s="43" t="s">
        <v>560</v>
      </c>
      <c r="G2041" s="31" t="str">
        <f t="shared" si="32"/>
        <v/>
      </c>
      <c r="H2041" s="35"/>
      <c r="I2041" s="31"/>
      <c r="J2041" s="155">
        <v>0</v>
      </c>
    </row>
    <row r="2042" spans="1:10" ht="40.200000000000003" hidden="1" thickBot="1" x14ac:dyDescent="0.35">
      <c r="A2042" s="229"/>
      <c r="B2042" s="224"/>
      <c r="C2042" s="36" t="s">
        <v>685</v>
      </c>
      <c r="D2042" s="47" t="s">
        <v>93</v>
      </c>
      <c r="E2042" s="37">
        <v>1.0210999999999999</v>
      </c>
      <c r="F2042" s="34" t="s">
        <v>560</v>
      </c>
      <c r="G2042" s="34" t="str">
        <f t="shared" si="32"/>
        <v/>
      </c>
      <c r="H2042" s="39">
        <f>SUM(G2042:G2044)</f>
        <v>0.55214640000000004</v>
      </c>
      <c r="I2042" s="40"/>
      <c r="J2042" s="155">
        <v>0</v>
      </c>
    </row>
    <row r="2043" spans="1:10" ht="15" hidden="1" thickBot="1" x14ac:dyDescent="0.35">
      <c r="A2043" s="229"/>
      <c r="B2043" s="224"/>
      <c r="C2043" s="36" t="s">
        <v>108</v>
      </c>
      <c r="D2043" s="47" t="s">
        <v>12</v>
      </c>
      <c r="E2043" s="37">
        <f>0.052*0.3</f>
        <v>1.5599999999999999E-2</v>
      </c>
      <c r="F2043" s="31">
        <v>15.4955</v>
      </c>
      <c r="G2043" s="34">
        <f t="shared" si="32"/>
        <v>0.24172979999999999</v>
      </c>
      <c r="H2043" s="35"/>
      <c r="I2043" s="31"/>
      <c r="J2043" s="155">
        <v>0</v>
      </c>
    </row>
    <row r="2044" spans="1:10" ht="15" hidden="1" thickBot="1" x14ac:dyDescent="0.35">
      <c r="A2044" s="229"/>
      <c r="B2044" s="224"/>
      <c r="C2044" s="36" t="s">
        <v>39</v>
      </c>
      <c r="D2044" s="47" t="s">
        <v>12</v>
      </c>
      <c r="E2044" s="37">
        <f>0.052*0.3</f>
        <v>1.5599999999999999E-2</v>
      </c>
      <c r="F2044" s="31">
        <v>19.898499999999999</v>
      </c>
      <c r="G2044" s="34">
        <f t="shared" si="32"/>
        <v>0.31041659999999999</v>
      </c>
      <c r="H2044" s="35"/>
      <c r="I2044" s="31"/>
      <c r="J2044" s="155">
        <v>0</v>
      </c>
    </row>
    <row r="2045" spans="1:10" ht="15" hidden="1" thickBot="1" x14ac:dyDescent="0.35">
      <c r="A2045" s="229"/>
      <c r="B2045" s="224"/>
      <c r="C2045" s="36"/>
      <c r="D2045" s="47"/>
      <c r="E2045" s="37"/>
      <c r="F2045" s="34" t="s">
        <v>560</v>
      </c>
      <c r="G2045" s="34" t="str">
        <f t="shared" si="32"/>
        <v/>
      </c>
      <c r="H2045" s="35"/>
      <c r="I2045" s="31"/>
      <c r="J2045" s="155">
        <v>0</v>
      </c>
    </row>
    <row r="2046" spans="1:10" ht="40.200000000000003" hidden="1" thickBot="1" x14ac:dyDescent="0.35">
      <c r="A2046" s="229"/>
      <c r="B2046" s="224"/>
      <c r="C2046" s="52" t="s">
        <v>681</v>
      </c>
      <c r="D2046" s="47"/>
      <c r="E2046" s="37"/>
      <c r="F2046" s="34" t="s">
        <v>560</v>
      </c>
      <c r="G2046" s="34" t="str">
        <f t="shared" si="32"/>
        <v/>
      </c>
      <c r="H2046" s="35"/>
      <c r="I2046" s="31"/>
      <c r="J2046" s="155">
        <v>0</v>
      </c>
    </row>
    <row r="2047" spans="1:10" ht="15" hidden="1" thickBot="1" x14ac:dyDescent="0.35">
      <c r="A2047" s="230"/>
      <c r="B2047" s="225"/>
      <c r="C2047" s="36"/>
      <c r="D2047" s="36"/>
      <c r="E2047" s="37"/>
      <c r="F2047" s="31" t="s">
        <v>560</v>
      </c>
      <c r="G2047" s="31" t="str">
        <f t="shared" si="32"/>
        <v/>
      </c>
      <c r="H2047" s="35"/>
      <c r="I2047" s="31"/>
      <c r="J2047" s="155">
        <v>0</v>
      </c>
    </row>
    <row r="2048" spans="1:10" ht="15" hidden="1" thickBot="1" x14ac:dyDescent="0.35">
      <c r="A2048" s="226" t="s">
        <v>686</v>
      </c>
      <c r="B2048" s="223" t="e">
        <f>INDEX(#REF!,MATCH(Composições!A2048,#REF!,0),2)</f>
        <v>#REF!</v>
      </c>
      <c r="C2048" s="41"/>
      <c r="D2048" s="26" t="e">
        <f>TRIM(INDEX(#REF!,MATCH(Composições!A2048,#REF!,0),1))</f>
        <v>#REF!</v>
      </c>
      <c r="E2048" s="27"/>
      <c r="F2048" s="42" t="s">
        <v>560</v>
      </c>
      <c r="G2048" s="28" t="str">
        <f t="shared" si="32"/>
        <v/>
      </c>
      <c r="H2048" s="29"/>
      <c r="I2048" s="30"/>
      <c r="J2048" s="155">
        <v>0</v>
      </c>
    </row>
    <row r="2049" spans="1:10" ht="15" hidden="1" thickBot="1" x14ac:dyDescent="0.35">
      <c r="A2049" s="229"/>
      <c r="B2049" s="224"/>
      <c r="C2049" s="32"/>
      <c r="D2049" s="32"/>
      <c r="E2049" s="33"/>
      <c r="F2049" s="43" t="s">
        <v>560</v>
      </c>
      <c r="G2049" s="31" t="str">
        <f t="shared" si="32"/>
        <v/>
      </c>
      <c r="H2049" s="35"/>
      <c r="I2049" s="31"/>
      <c r="J2049" s="155">
        <v>0</v>
      </c>
    </row>
    <row r="2050" spans="1:10" ht="40.200000000000003" hidden="1" thickBot="1" x14ac:dyDescent="0.35">
      <c r="A2050" s="229"/>
      <c r="B2050" s="224"/>
      <c r="C2050" s="36" t="s">
        <v>687</v>
      </c>
      <c r="D2050" s="47" t="s">
        <v>93</v>
      </c>
      <c r="E2050" s="37">
        <v>1.0210999999999999</v>
      </c>
      <c r="F2050" s="34" t="s">
        <v>560</v>
      </c>
      <c r="G2050" s="34" t="str">
        <f t="shared" si="32"/>
        <v/>
      </c>
      <c r="H2050" s="39">
        <f>SUM(G2050:G2052)</f>
        <v>0.67956479999999986</v>
      </c>
      <c r="I2050" s="40"/>
      <c r="J2050" s="155">
        <v>0</v>
      </c>
    </row>
    <row r="2051" spans="1:10" ht="15" hidden="1" thickBot="1" x14ac:dyDescent="0.35">
      <c r="A2051" s="229"/>
      <c r="B2051" s="224"/>
      <c r="C2051" s="36" t="s">
        <v>108</v>
      </c>
      <c r="D2051" s="47" t="s">
        <v>12</v>
      </c>
      <c r="E2051" s="37">
        <f>0.064*0.3</f>
        <v>1.9199999999999998E-2</v>
      </c>
      <c r="F2051" s="31">
        <v>15.4955</v>
      </c>
      <c r="G2051" s="34">
        <f t="shared" si="32"/>
        <v>0.29751359999999999</v>
      </c>
      <c r="H2051" s="35"/>
      <c r="I2051" s="31"/>
      <c r="J2051" s="155">
        <v>0</v>
      </c>
    </row>
    <row r="2052" spans="1:10" ht="15" hidden="1" thickBot="1" x14ac:dyDescent="0.35">
      <c r="A2052" s="229"/>
      <c r="B2052" s="224"/>
      <c r="C2052" s="36" t="s">
        <v>39</v>
      </c>
      <c r="D2052" s="47" t="s">
        <v>12</v>
      </c>
      <c r="E2052" s="37">
        <f>0.064*0.3</f>
        <v>1.9199999999999998E-2</v>
      </c>
      <c r="F2052" s="31">
        <v>19.898499999999999</v>
      </c>
      <c r="G2052" s="34">
        <f t="shared" si="32"/>
        <v>0.38205119999999992</v>
      </c>
      <c r="H2052" s="35"/>
      <c r="I2052" s="31"/>
      <c r="J2052" s="155">
        <v>0</v>
      </c>
    </row>
    <row r="2053" spans="1:10" ht="15" hidden="1" thickBot="1" x14ac:dyDescent="0.35">
      <c r="A2053" s="229"/>
      <c r="B2053" s="224"/>
      <c r="C2053" s="36"/>
      <c r="D2053" s="47"/>
      <c r="E2053" s="37"/>
      <c r="F2053" s="34" t="s">
        <v>560</v>
      </c>
      <c r="G2053" s="34" t="str">
        <f t="shared" si="32"/>
        <v/>
      </c>
      <c r="H2053" s="35"/>
      <c r="I2053" s="31"/>
      <c r="J2053" s="155">
        <v>0</v>
      </c>
    </row>
    <row r="2054" spans="1:10" ht="40.200000000000003" hidden="1" thickBot="1" x14ac:dyDescent="0.35">
      <c r="A2054" s="229"/>
      <c r="B2054" s="224"/>
      <c r="C2054" s="52" t="s">
        <v>681</v>
      </c>
      <c r="D2054" s="47"/>
      <c r="E2054" s="37"/>
      <c r="F2054" s="34" t="s">
        <v>560</v>
      </c>
      <c r="G2054" s="34" t="str">
        <f t="shared" si="32"/>
        <v/>
      </c>
      <c r="H2054" s="35"/>
      <c r="I2054" s="31"/>
      <c r="J2054" s="155">
        <v>0</v>
      </c>
    </row>
    <row r="2055" spans="1:10" ht="15" hidden="1" thickBot="1" x14ac:dyDescent="0.35">
      <c r="A2055" s="230"/>
      <c r="B2055" s="225"/>
      <c r="C2055" s="36"/>
      <c r="D2055" s="36"/>
      <c r="E2055" s="37"/>
      <c r="F2055" s="31" t="s">
        <v>560</v>
      </c>
      <c r="G2055" s="31" t="str">
        <f t="shared" si="32"/>
        <v/>
      </c>
      <c r="H2055" s="35"/>
      <c r="I2055" s="31"/>
      <c r="J2055" s="155">
        <v>0</v>
      </c>
    </row>
    <row r="2056" spans="1:10" ht="15" hidden="1" thickBot="1" x14ac:dyDescent="0.35">
      <c r="A2056" s="226" t="s">
        <v>688</v>
      </c>
      <c r="B2056" s="223" t="e">
        <f>INDEX(#REF!,MATCH(Composições!A2056,#REF!,0),2)</f>
        <v>#REF!</v>
      </c>
      <c r="C2056" s="41"/>
      <c r="D2056" s="26" t="e">
        <f>TRIM(INDEX(#REF!,MATCH(Composições!A2056,#REF!,0),1))</f>
        <v>#REF!</v>
      </c>
      <c r="E2056" s="27"/>
      <c r="F2056" s="42" t="s">
        <v>560</v>
      </c>
      <c r="G2056" s="28" t="str">
        <f t="shared" si="32"/>
        <v/>
      </c>
      <c r="H2056" s="29"/>
      <c r="I2056" s="30"/>
      <c r="J2056" s="155">
        <v>0</v>
      </c>
    </row>
    <row r="2057" spans="1:10" ht="15" hidden="1" thickBot="1" x14ac:dyDescent="0.35">
      <c r="A2057" s="229"/>
      <c r="B2057" s="224"/>
      <c r="C2057" s="32"/>
      <c r="D2057" s="32"/>
      <c r="E2057" s="33"/>
      <c r="F2057" s="43" t="s">
        <v>560</v>
      </c>
      <c r="G2057" s="31" t="str">
        <f t="shared" si="32"/>
        <v/>
      </c>
      <c r="H2057" s="35"/>
      <c r="I2057" s="31"/>
      <c r="J2057" s="155">
        <v>0</v>
      </c>
    </row>
    <row r="2058" spans="1:10" ht="40.200000000000003" hidden="1" thickBot="1" x14ac:dyDescent="0.35">
      <c r="A2058" s="229"/>
      <c r="B2058" s="224"/>
      <c r="C2058" s="36" t="s">
        <v>689</v>
      </c>
      <c r="D2058" s="47" t="s">
        <v>93</v>
      </c>
      <c r="E2058" s="37">
        <v>1.0210999999999999</v>
      </c>
      <c r="F2058" s="34" t="s">
        <v>560</v>
      </c>
      <c r="G2058" s="34" t="str">
        <f t="shared" si="32"/>
        <v/>
      </c>
      <c r="H2058" s="39">
        <f>SUM(G2058:G2060)</f>
        <v>0.60523740000000004</v>
      </c>
      <c r="I2058" s="40"/>
      <c r="J2058" s="155">
        <v>0</v>
      </c>
    </row>
    <row r="2059" spans="1:10" ht="15" hidden="1" thickBot="1" x14ac:dyDescent="0.35">
      <c r="A2059" s="229"/>
      <c r="B2059" s="224"/>
      <c r="C2059" s="36" t="s">
        <v>108</v>
      </c>
      <c r="D2059" s="47" t="s">
        <v>12</v>
      </c>
      <c r="E2059" s="37">
        <f>0.057*0.3</f>
        <v>1.7100000000000001E-2</v>
      </c>
      <c r="F2059" s="31">
        <v>15.4955</v>
      </c>
      <c r="G2059" s="34">
        <f t="shared" si="32"/>
        <v>0.26497304999999999</v>
      </c>
      <c r="H2059" s="35"/>
      <c r="I2059" s="31"/>
      <c r="J2059" s="155">
        <v>0</v>
      </c>
    </row>
    <row r="2060" spans="1:10" ht="15" hidden="1" thickBot="1" x14ac:dyDescent="0.35">
      <c r="A2060" s="229"/>
      <c r="B2060" s="224"/>
      <c r="C2060" s="36" t="s">
        <v>39</v>
      </c>
      <c r="D2060" s="47" t="s">
        <v>12</v>
      </c>
      <c r="E2060" s="37">
        <f>0.057*0.3</f>
        <v>1.7100000000000001E-2</v>
      </c>
      <c r="F2060" s="31">
        <v>19.898499999999999</v>
      </c>
      <c r="G2060" s="34">
        <f t="shared" si="32"/>
        <v>0.34026434999999999</v>
      </c>
      <c r="H2060" s="35"/>
      <c r="I2060" s="31"/>
      <c r="J2060" s="155">
        <v>0</v>
      </c>
    </row>
    <row r="2061" spans="1:10" ht="15" hidden="1" thickBot="1" x14ac:dyDescent="0.35">
      <c r="A2061" s="229"/>
      <c r="B2061" s="224"/>
      <c r="C2061" s="36"/>
      <c r="D2061" s="47"/>
      <c r="E2061" s="37"/>
      <c r="F2061" s="34" t="s">
        <v>560</v>
      </c>
      <c r="G2061" s="34" t="str">
        <f t="shared" si="32"/>
        <v/>
      </c>
      <c r="H2061" s="35"/>
      <c r="I2061" s="31"/>
      <c r="J2061" s="155">
        <v>0</v>
      </c>
    </row>
    <row r="2062" spans="1:10" ht="40.200000000000003" hidden="1" thickBot="1" x14ac:dyDescent="0.35">
      <c r="A2062" s="229"/>
      <c r="B2062" s="224"/>
      <c r="C2062" s="52" t="s">
        <v>681</v>
      </c>
      <c r="D2062" s="47"/>
      <c r="E2062" s="37"/>
      <c r="F2062" s="34" t="s">
        <v>560</v>
      </c>
      <c r="G2062" s="34" t="str">
        <f t="shared" si="32"/>
        <v/>
      </c>
      <c r="H2062" s="35"/>
      <c r="I2062" s="31"/>
      <c r="J2062" s="155">
        <v>0</v>
      </c>
    </row>
    <row r="2063" spans="1:10" ht="15" hidden="1" thickBot="1" x14ac:dyDescent="0.35">
      <c r="A2063" s="230"/>
      <c r="B2063" s="225"/>
      <c r="C2063" s="36"/>
      <c r="D2063" s="36"/>
      <c r="E2063" s="37"/>
      <c r="F2063" s="31" t="s">
        <v>560</v>
      </c>
      <c r="G2063" s="31" t="str">
        <f t="shared" si="32"/>
        <v/>
      </c>
      <c r="H2063" s="35"/>
      <c r="I2063" s="31"/>
      <c r="J2063" s="155">
        <v>0</v>
      </c>
    </row>
    <row r="2064" spans="1:10" ht="15" hidden="1" thickBot="1" x14ac:dyDescent="0.35">
      <c r="A2064" s="226" t="s">
        <v>690</v>
      </c>
      <c r="B2064" s="223" t="e">
        <f>INDEX(#REF!,MATCH(Composições!A2064,#REF!,0),2)</f>
        <v>#REF!</v>
      </c>
      <c r="C2064" s="41"/>
      <c r="D2064" s="26" t="e">
        <f>TRIM(INDEX(#REF!,MATCH(Composições!A2064,#REF!,0),1))</f>
        <v>#REF!</v>
      </c>
      <c r="E2064" s="27"/>
      <c r="F2064" s="42" t="s">
        <v>560</v>
      </c>
      <c r="G2064" s="28" t="str">
        <f t="shared" si="32"/>
        <v/>
      </c>
      <c r="H2064" s="29"/>
      <c r="I2064" s="30"/>
      <c r="J2064" s="155">
        <v>0</v>
      </c>
    </row>
    <row r="2065" spans="1:10" ht="15" hidden="1" thickBot="1" x14ac:dyDescent="0.35">
      <c r="A2065" s="229"/>
      <c r="B2065" s="224"/>
      <c r="C2065" s="32"/>
      <c r="D2065" s="32"/>
      <c r="E2065" s="33"/>
      <c r="F2065" s="43" t="s">
        <v>560</v>
      </c>
      <c r="G2065" s="31" t="str">
        <f t="shared" si="32"/>
        <v/>
      </c>
      <c r="H2065" s="35"/>
      <c r="I2065" s="31"/>
      <c r="J2065" s="155">
        <v>0</v>
      </c>
    </row>
    <row r="2066" spans="1:10" ht="40.200000000000003" hidden="1" thickBot="1" x14ac:dyDescent="0.35">
      <c r="A2066" s="229"/>
      <c r="B2066" s="224"/>
      <c r="C2066" s="36" t="s">
        <v>691</v>
      </c>
      <c r="D2066" s="47" t="s">
        <v>93</v>
      </c>
      <c r="E2066" s="37">
        <v>1.0210999999999999</v>
      </c>
      <c r="F2066" s="34" t="s">
        <v>560</v>
      </c>
      <c r="G2066" s="34" t="str">
        <f t="shared" ref="G2066:G2129" si="33">IF(ISNUMBER(F2066),E2066*F2066,"")</f>
        <v/>
      </c>
      <c r="H2066" s="39">
        <f>SUM(G2066:G2068)</f>
        <v>0.67956479999999986</v>
      </c>
      <c r="I2066" s="40"/>
      <c r="J2066" s="155">
        <v>0</v>
      </c>
    </row>
    <row r="2067" spans="1:10" ht="15" hidden="1" thickBot="1" x14ac:dyDescent="0.35">
      <c r="A2067" s="229"/>
      <c r="B2067" s="224"/>
      <c r="C2067" s="36" t="s">
        <v>108</v>
      </c>
      <c r="D2067" s="47" t="s">
        <v>12</v>
      </c>
      <c r="E2067" s="37">
        <f>0.064*0.3</f>
        <v>1.9199999999999998E-2</v>
      </c>
      <c r="F2067" s="31">
        <v>15.4955</v>
      </c>
      <c r="G2067" s="34">
        <f t="shared" si="33"/>
        <v>0.29751359999999999</v>
      </c>
      <c r="H2067" s="35"/>
      <c r="I2067" s="31"/>
      <c r="J2067" s="155">
        <v>0</v>
      </c>
    </row>
    <row r="2068" spans="1:10" ht="15" hidden="1" thickBot="1" x14ac:dyDescent="0.35">
      <c r="A2068" s="229"/>
      <c r="B2068" s="224"/>
      <c r="C2068" s="36" t="s">
        <v>39</v>
      </c>
      <c r="D2068" s="47" t="s">
        <v>12</v>
      </c>
      <c r="E2068" s="37">
        <f>0.064*0.3</f>
        <v>1.9199999999999998E-2</v>
      </c>
      <c r="F2068" s="31">
        <v>19.898499999999999</v>
      </c>
      <c r="G2068" s="34">
        <f t="shared" si="33"/>
        <v>0.38205119999999992</v>
      </c>
      <c r="H2068" s="35"/>
      <c r="I2068" s="31"/>
      <c r="J2068" s="155">
        <v>0</v>
      </c>
    </row>
    <row r="2069" spans="1:10" ht="15" hidden="1" thickBot="1" x14ac:dyDescent="0.35">
      <c r="A2069" s="229"/>
      <c r="B2069" s="224"/>
      <c r="C2069" s="36"/>
      <c r="D2069" s="47"/>
      <c r="E2069" s="37"/>
      <c r="F2069" s="34" t="s">
        <v>560</v>
      </c>
      <c r="G2069" s="34" t="str">
        <f t="shared" si="33"/>
        <v/>
      </c>
      <c r="H2069" s="35"/>
      <c r="I2069" s="31"/>
      <c r="J2069" s="155">
        <v>0</v>
      </c>
    </row>
    <row r="2070" spans="1:10" ht="40.200000000000003" hidden="1" thickBot="1" x14ac:dyDescent="0.35">
      <c r="A2070" s="229"/>
      <c r="B2070" s="224"/>
      <c r="C2070" s="52" t="s">
        <v>681</v>
      </c>
      <c r="D2070" s="47"/>
      <c r="E2070" s="37"/>
      <c r="F2070" s="34" t="s">
        <v>560</v>
      </c>
      <c r="G2070" s="34" t="str">
        <f t="shared" si="33"/>
        <v/>
      </c>
      <c r="H2070" s="35"/>
      <c r="I2070" s="31"/>
      <c r="J2070" s="155">
        <v>0</v>
      </c>
    </row>
    <row r="2071" spans="1:10" ht="15" hidden="1" thickBot="1" x14ac:dyDescent="0.35">
      <c r="A2071" s="230"/>
      <c r="B2071" s="225"/>
      <c r="C2071" s="36"/>
      <c r="D2071" s="36"/>
      <c r="E2071" s="37"/>
      <c r="F2071" s="31" t="s">
        <v>560</v>
      </c>
      <c r="G2071" s="31" t="str">
        <f t="shared" si="33"/>
        <v/>
      </c>
      <c r="H2071" s="35"/>
      <c r="I2071" s="31"/>
      <c r="J2071" s="155">
        <v>0</v>
      </c>
    </row>
    <row r="2072" spans="1:10" ht="15" hidden="1" thickBot="1" x14ac:dyDescent="0.35">
      <c r="A2072" s="226" t="s">
        <v>692</v>
      </c>
      <c r="B2072" s="223" t="e">
        <f>INDEX(#REF!,MATCH(Composições!A2072,#REF!,0),2)</f>
        <v>#REF!</v>
      </c>
      <c r="C2072" s="41"/>
      <c r="D2072" s="26" t="e">
        <f>TRIM(INDEX(#REF!,MATCH(Composições!A2072,#REF!,0),1))</f>
        <v>#REF!</v>
      </c>
      <c r="E2072" s="27"/>
      <c r="F2072" s="42" t="s">
        <v>560</v>
      </c>
      <c r="G2072" s="28" t="str">
        <f t="shared" si="33"/>
        <v/>
      </c>
      <c r="H2072" s="29"/>
      <c r="I2072" s="30"/>
      <c r="J2072" s="155">
        <v>0</v>
      </c>
    </row>
    <row r="2073" spans="1:10" ht="15" hidden="1" thickBot="1" x14ac:dyDescent="0.35">
      <c r="A2073" s="229"/>
      <c r="B2073" s="224"/>
      <c r="C2073" s="32"/>
      <c r="D2073" s="32"/>
      <c r="E2073" s="33"/>
      <c r="F2073" s="43" t="s">
        <v>560</v>
      </c>
      <c r="G2073" s="31" t="str">
        <f t="shared" si="33"/>
        <v/>
      </c>
      <c r="H2073" s="35"/>
      <c r="I2073" s="31"/>
      <c r="J2073" s="155">
        <v>0</v>
      </c>
    </row>
    <row r="2074" spans="1:10" ht="40.200000000000003" hidden="1" thickBot="1" x14ac:dyDescent="0.35">
      <c r="A2074" s="229"/>
      <c r="B2074" s="224"/>
      <c r="C2074" s="36" t="s">
        <v>693</v>
      </c>
      <c r="D2074" s="47" t="s">
        <v>93</v>
      </c>
      <c r="E2074" s="37">
        <v>1.0210999999999999</v>
      </c>
      <c r="F2074" s="34" t="s">
        <v>560</v>
      </c>
      <c r="G2074" s="34" t="str">
        <f t="shared" si="33"/>
        <v/>
      </c>
      <c r="H2074" s="39">
        <f>SUM(G2074:G2076)</f>
        <v>0.67956479999999986</v>
      </c>
      <c r="I2074" s="40"/>
      <c r="J2074" s="155">
        <v>0</v>
      </c>
    </row>
    <row r="2075" spans="1:10" ht="15" hidden="1" thickBot="1" x14ac:dyDescent="0.35">
      <c r="A2075" s="229"/>
      <c r="B2075" s="224"/>
      <c r="C2075" s="36" t="s">
        <v>108</v>
      </c>
      <c r="D2075" s="47" t="s">
        <v>12</v>
      </c>
      <c r="E2075" s="37">
        <f>0.064*0.3</f>
        <v>1.9199999999999998E-2</v>
      </c>
      <c r="F2075" s="31">
        <v>15.4955</v>
      </c>
      <c r="G2075" s="34">
        <f t="shared" si="33"/>
        <v>0.29751359999999999</v>
      </c>
      <c r="H2075" s="35"/>
      <c r="I2075" s="31"/>
      <c r="J2075" s="155">
        <v>0</v>
      </c>
    </row>
    <row r="2076" spans="1:10" ht="15" hidden="1" thickBot="1" x14ac:dyDescent="0.35">
      <c r="A2076" s="229"/>
      <c r="B2076" s="224"/>
      <c r="C2076" s="36" t="s">
        <v>39</v>
      </c>
      <c r="D2076" s="47" t="s">
        <v>12</v>
      </c>
      <c r="E2076" s="37">
        <f>0.064*0.3</f>
        <v>1.9199999999999998E-2</v>
      </c>
      <c r="F2076" s="31">
        <v>19.898499999999999</v>
      </c>
      <c r="G2076" s="34">
        <f t="shared" si="33"/>
        <v>0.38205119999999992</v>
      </c>
      <c r="H2076" s="35"/>
      <c r="I2076" s="31"/>
      <c r="J2076" s="155">
        <v>0</v>
      </c>
    </row>
    <row r="2077" spans="1:10" ht="15" hidden="1" thickBot="1" x14ac:dyDescent="0.35">
      <c r="A2077" s="229"/>
      <c r="B2077" s="224"/>
      <c r="C2077" s="36"/>
      <c r="D2077" s="47"/>
      <c r="E2077" s="37"/>
      <c r="F2077" s="34" t="s">
        <v>560</v>
      </c>
      <c r="G2077" s="34" t="str">
        <f t="shared" si="33"/>
        <v/>
      </c>
      <c r="H2077" s="35"/>
      <c r="I2077" s="31"/>
      <c r="J2077" s="155">
        <v>0</v>
      </c>
    </row>
    <row r="2078" spans="1:10" ht="40.200000000000003" hidden="1" thickBot="1" x14ac:dyDescent="0.35">
      <c r="A2078" s="229"/>
      <c r="B2078" s="224"/>
      <c r="C2078" s="52" t="s">
        <v>681</v>
      </c>
      <c r="D2078" s="47"/>
      <c r="E2078" s="37"/>
      <c r="F2078" s="34" t="s">
        <v>560</v>
      </c>
      <c r="G2078" s="34" t="str">
        <f t="shared" si="33"/>
        <v/>
      </c>
      <c r="H2078" s="35"/>
      <c r="I2078" s="31"/>
      <c r="J2078" s="155">
        <v>0</v>
      </c>
    </row>
    <row r="2079" spans="1:10" ht="15" hidden="1" thickBot="1" x14ac:dyDescent="0.35">
      <c r="A2079" s="230"/>
      <c r="B2079" s="225"/>
      <c r="C2079" s="36"/>
      <c r="D2079" s="36"/>
      <c r="E2079" s="37"/>
      <c r="F2079" s="31" t="s">
        <v>560</v>
      </c>
      <c r="G2079" s="31" t="str">
        <f t="shared" si="33"/>
        <v/>
      </c>
      <c r="H2079" s="35"/>
      <c r="I2079" s="31"/>
      <c r="J2079" s="155">
        <v>0</v>
      </c>
    </row>
    <row r="2080" spans="1:10" ht="15" hidden="1" thickBot="1" x14ac:dyDescent="0.35">
      <c r="A2080" s="226" t="s">
        <v>694</v>
      </c>
      <c r="B2080" s="223" t="e">
        <f>INDEX(#REF!,MATCH(Composições!A2080,#REF!,0),2)</f>
        <v>#REF!</v>
      </c>
      <c r="C2080" s="41"/>
      <c r="D2080" s="26" t="e">
        <f>TRIM(INDEX(#REF!,MATCH(Composições!A2080,#REF!,0),1))</f>
        <v>#REF!</v>
      </c>
      <c r="E2080" s="27"/>
      <c r="F2080" s="42" t="s">
        <v>560</v>
      </c>
      <c r="G2080" s="28" t="str">
        <f t="shared" si="33"/>
        <v/>
      </c>
      <c r="H2080" s="29"/>
      <c r="I2080" s="30"/>
      <c r="J2080" s="155">
        <v>0</v>
      </c>
    </row>
    <row r="2081" spans="1:10" ht="15" hidden="1" thickBot="1" x14ac:dyDescent="0.35">
      <c r="A2081" s="229"/>
      <c r="B2081" s="224"/>
      <c r="C2081" s="32"/>
      <c r="D2081" s="32"/>
      <c r="E2081" s="33"/>
      <c r="F2081" s="43" t="s">
        <v>560</v>
      </c>
      <c r="G2081" s="31" t="str">
        <f t="shared" si="33"/>
        <v/>
      </c>
      <c r="H2081" s="35"/>
      <c r="I2081" s="31"/>
      <c r="J2081" s="155">
        <v>0</v>
      </c>
    </row>
    <row r="2082" spans="1:10" ht="40.200000000000003" hidden="1" thickBot="1" x14ac:dyDescent="0.35">
      <c r="A2082" s="229"/>
      <c r="B2082" s="224"/>
      <c r="C2082" s="36" t="s">
        <v>695</v>
      </c>
      <c r="D2082" s="47" t="s">
        <v>93</v>
      </c>
      <c r="E2082" s="37">
        <v>1.0210999999999999</v>
      </c>
      <c r="F2082" s="34" t="s">
        <v>560</v>
      </c>
      <c r="G2082" s="34" t="str">
        <f t="shared" si="33"/>
        <v/>
      </c>
      <c r="H2082" s="39">
        <f>SUM(G2082:G2084)</f>
        <v>0.67956479999999986</v>
      </c>
      <c r="I2082" s="40"/>
      <c r="J2082" s="155">
        <v>0</v>
      </c>
    </row>
    <row r="2083" spans="1:10" ht="15" hidden="1" thickBot="1" x14ac:dyDescent="0.35">
      <c r="A2083" s="229"/>
      <c r="B2083" s="224"/>
      <c r="C2083" s="36" t="s">
        <v>108</v>
      </c>
      <c r="D2083" s="47" t="s">
        <v>12</v>
      </c>
      <c r="E2083" s="37">
        <f>0.064*0.3</f>
        <v>1.9199999999999998E-2</v>
      </c>
      <c r="F2083" s="31">
        <v>15.4955</v>
      </c>
      <c r="G2083" s="34">
        <f t="shared" si="33"/>
        <v>0.29751359999999999</v>
      </c>
      <c r="H2083" s="35"/>
      <c r="I2083" s="31"/>
      <c r="J2083" s="155">
        <v>0</v>
      </c>
    </row>
    <row r="2084" spans="1:10" ht="15" hidden="1" thickBot="1" x14ac:dyDescent="0.35">
      <c r="A2084" s="229"/>
      <c r="B2084" s="224"/>
      <c r="C2084" s="36" t="s">
        <v>39</v>
      </c>
      <c r="D2084" s="47" t="s">
        <v>12</v>
      </c>
      <c r="E2084" s="37">
        <f>0.064*0.3</f>
        <v>1.9199999999999998E-2</v>
      </c>
      <c r="F2084" s="31">
        <v>19.898499999999999</v>
      </c>
      <c r="G2084" s="34">
        <f t="shared" si="33"/>
        <v>0.38205119999999992</v>
      </c>
      <c r="H2084" s="35"/>
      <c r="I2084" s="31"/>
      <c r="J2084" s="155">
        <v>0</v>
      </c>
    </row>
    <row r="2085" spans="1:10" ht="15" hidden="1" thickBot="1" x14ac:dyDescent="0.35">
      <c r="A2085" s="229"/>
      <c r="B2085" s="224"/>
      <c r="C2085" s="36"/>
      <c r="D2085" s="47"/>
      <c r="E2085" s="37"/>
      <c r="F2085" s="34" t="s">
        <v>560</v>
      </c>
      <c r="G2085" s="34" t="str">
        <f t="shared" si="33"/>
        <v/>
      </c>
      <c r="H2085" s="35"/>
      <c r="I2085" s="31"/>
      <c r="J2085" s="155">
        <v>0</v>
      </c>
    </row>
    <row r="2086" spans="1:10" ht="40.200000000000003" hidden="1" thickBot="1" x14ac:dyDescent="0.35">
      <c r="A2086" s="229"/>
      <c r="B2086" s="224"/>
      <c r="C2086" s="52" t="s">
        <v>681</v>
      </c>
      <c r="D2086" s="47"/>
      <c r="E2086" s="37"/>
      <c r="F2086" s="34" t="s">
        <v>560</v>
      </c>
      <c r="G2086" s="34" t="str">
        <f t="shared" si="33"/>
        <v/>
      </c>
      <c r="H2086" s="35"/>
      <c r="I2086" s="31"/>
      <c r="J2086" s="155">
        <v>0</v>
      </c>
    </row>
    <row r="2087" spans="1:10" ht="15" hidden="1" thickBot="1" x14ac:dyDescent="0.35">
      <c r="A2087" s="230"/>
      <c r="B2087" s="225"/>
      <c r="C2087" s="36"/>
      <c r="D2087" s="36"/>
      <c r="E2087" s="37"/>
      <c r="F2087" s="31" t="s">
        <v>560</v>
      </c>
      <c r="G2087" s="31" t="str">
        <f t="shared" si="33"/>
        <v/>
      </c>
      <c r="H2087" s="35"/>
      <c r="I2087" s="31"/>
      <c r="J2087" s="155">
        <v>0</v>
      </c>
    </row>
    <row r="2088" spans="1:10" ht="15" hidden="1" thickBot="1" x14ac:dyDescent="0.35">
      <c r="A2088" s="226" t="s">
        <v>696</v>
      </c>
      <c r="B2088" s="223" t="e">
        <f>INDEX(#REF!,MATCH(Composições!A2088,#REF!,0),2)</f>
        <v>#REF!</v>
      </c>
      <c r="C2088" s="41"/>
      <c r="D2088" s="26" t="e">
        <f>TRIM(INDEX(#REF!,MATCH(Composições!A2088,#REF!,0),1))</f>
        <v>#REF!</v>
      </c>
      <c r="E2088" s="27"/>
      <c r="F2088" s="42" t="s">
        <v>560</v>
      </c>
      <c r="G2088" s="28" t="str">
        <f t="shared" si="33"/>
        <v/>
      </c>
      <c r="H2088" s="29"/>
      <c r="I2088" s="30"/>
      <c r="J2088" s="155">
        <v>0</v>
      </c>
    </row>
    <row r="2089" spans="1:10" ht="15" hidden="1" thickBot="1" x14ac:dyDescent="0.35">
      <c r="A2089" s="229"/>
      <c r="B2089" s="224"/>
      <c r="C2089" s="32"/>
      <c r="D2089" s="32"/>
      <c r="E2089" s="33"/>
      <c r="F2089" s="43" t="s">
        <v>560</v>
      </c>
      <c r="G2089" s="31" t="str">
        <f t="shared" si="33"/>
        <v/>
      </c>
      <c r="H2089" s="35"/>
      <c r="I2089" s="31"/>
      <c r="J2089" s="155">
        <v>0</v>
      </c>
    </row>
    <row r="2090" spans="1:10" ht="40.200000000000003" hidden="1" thickBot="1" x14ac:dyDescent="0.35">
      <c r="A2090" s="229"/>
      <c r="B2090" s="224"/>
      <c r="C2090" s="36" t="s">
        <v>697</v>
      </c>
      <c r="D2090" s="47" t="s">
        <v>93</v>
      </c>
      <c r="E2090" s="37">
        <v>1.0210999999999999</v>
      </c>
      <c r="F2090" s="34" t="s">
        <v>560</v>
      </c>
      <c r="G2090" s="34" t="str">
        <f t="shared" si="33"/>
        <v/>
      </c>
      <c r="H2090" s="39">
        <f>SUM(G2090:G2092)</f>
        <v>0.67956479999999986</v>
      </c>
      <c r="I2090" s="40"/>
      <c r="J2090" s="155">
        <v>0</v>
      </c>
    </row>
    <row r="2091" spans="1:10" ht="15" hidden="1" thickBot="1" x14ac:dyDescent="0.35">
      <c r="A2091" s="229"/>
      <c r="B2091" s="224"/>
      <c r="C2091" s="36" t="s">
        <v>108</v>
      </c>
      <c r="D2091" s="47" t="s">
        <v>12</v>
      </c>
      <c r="E2091" s="37">
        <f>0.064*0.3</f>
        <v>1.9199999999999998E-2</v>
      </c>
      <c r="F2091" s="31">
        <v>15.4955</v>
      </c>
      <c r="G2091" s="34">
        <f t="shared" si="33"/>
        <v>0.29751359999999999</v>
      </c>
      <c r="H2091" s="35"/>
      <c r="I2091" s="31"/>
      <c r="J2091" s="155">
        <v>0</v>
      </c>
    </row>
    <row r="2092" spans="1:10" ht="15" hidden="1" thickBot="1" x14ac:dyDescent="0.35">
      <c r="A2092" s="229"/>
      <c r="B2092" s="224"/>
      <c r="C2092" s="36" t="s">
        <v>39</v>
      </c>
      <c r="D2092" s="47" t="s">
        <v>12</v>
      </c>
      <c r="E2092" s="37">
        <f>0.064*0.3</f>
        <v>1.9199999999999998E-2</v>
      </c>
      <c r="F2092" s="31">
        <v>19.898499999999999</v>
      </c>
      <c r="G2092" s="34">
        <f t="shared" si="33"/>
        <v>0.38205119999999992</v>
      </c>
      <c r="H2092" s="35"/>
      <c r="I2092" s="31"/>
      <c r="J2092" s="155">
        <v>0</v>
      </c>
    </row>
    <row r="2093" spans="1:10" ht="15" hidden="1" thickBot="1" x14ac:dyDescent="0.35">
      <c r="A2093" s="229"/>
      <c r="B2093" s="224"/>
      <c r="C2093" s="36"/>
      <c r="D2093" s="47"/>
      <c r="E2093" s="37"/>
      <c r="F2093" s="34" t="s">
        <v>560</v>
      </c>
      <c r="G2093" s="34" t="str">
        <f t="shared" si="33"/>
        <v/>
      </c>
      <c r="H2093" s="35"/>
      <c r="I2093" s="31"/>
      <c r="J2093" s="155">
        <v>0</v>
      </c>
    </row>
    <row r="2094" spans="1:10" ht="40.200000000000003" hidden="1" thickBot="1" x14ac:dyDescent="0.35">
      <c r="A2094" s="229"/>
      <c r="B2094" s="224"/>
      <c r="C2094" s="52" t="s">
        <v>681</v>
      </c>
      <c r="D2094" s="47"/>
      <c r="E2094" s="37"/>
      <c r="F2094" s="34" t="s">
        <v>560</v>
      </c>
      <c r="G2094" s="34" t="str">
        <f t="shared" si="33"/>
        <v/>
      </c>
      <c r="H2094" s="35"/>
      <c r="I2094" s="31"/>
      <c r="J2094" s="155">
        <v>0</v>
      </c>
    </row>
    <row r="2095" spans="1:10" ht="15" hidden="1" thickBot="1" x14ac:dyDescent="0.35">
      <c r="A2095" s="230"/>
      <c r="B2095" s="225"/>
      <c r="C2095" s="36"/>
      <c r="D2095" s="36"/>
      <c r="E2095" s="37"/>
      <c r="F2095" s="31" t="s">
        <v>560</v>
      </c>
      <c r="G2095" s="31" t="str">
        <f t="shared" si="33"/>
        <v/>
      </c>
      <c r="H2095" s="35"/>
      <c r="I2095" s="31"/>
      <c r="J2095" s="155">
        <v>0</v>
      </c>
    </row>
    <row r="2096" spans="1:10" ht="15" hidden="1" thickBot="1" x14ac:dyDescent="0.35">
      <c r="A2096" s="226" t="s">
        <v>698</v>
      </c>
      <c r="B2096" s="223" t="e">
        <f>INDEX(#REF!,MATCH(Composições!A2096,#REF!,0),2)</f>
        <v>#REF!</v>
      </c>
      <c r="C2096" s="41"/>
      <c r="D2096" s="26" t="e">
        <f>TRIM(INDEX(#REF!,MATCH(Composições!A2096,#REF!,0),1))</f>
        <v>#REF!</v>
      </c>
      <c r="E2096" s="27"/>
      <c r="F2096" s="42" t="s">
        <v>560</v>
      </c>
      <c r="G2096" s="28" t="str">
        <f t="shared" si="33"/>
        <v/>
      </c>
      <c r="H2096" s="29"/>
      <c r="I2096" s="30"/>
      <c r="J2096" s="155">
        <v>0</v>
      </c>
    </row>
    <row r="2097" spans="1:10" ht="15" hidden="1" thickBot="1" x14ac:dyDescent="0.35">
      <c r="A2097" s="229"/>
      <c r="B2097" s="224"/>
      <c r="C2097" s="32"/>
      <c r="D2097" s="32"/>
      <c r="E2097" s="33"/>
      <c r="F2097" s="43" t="s">
        <v>560</v>
      </c>
      <c r="G2097" s="31" t="str">
        <f t="shared" si="33"/>
        <v/>
      </c>
      <c r="H2097" s="35"/>
      <c r="I2097" s="31"/>
      <c r="J2097" s="155">
        <v>0</v>
      </c>
    </row>
    <row r="2098" spans="1:10" ht="40.200000000000003" hidden="1" thickBot="1" x14ac:dyDescent="0.35">
      <c r="A2098" s="229"/>
      <c r="B2098" s="224"/>
      <c r="C2098" s="36" t="s">
        <v>699</v>
      </c>
      <c r="D2098" s="47" t="s">
        <v>93</v>
      </c>
      <c r="E2098" s="37">
        <v>1.0210999999999999</v>
      </c>
      <c r="F2098" s="34" t="s">
        <v>560</v>
      </c>
      <c r="G2098" s="34" t="str">
        <f t="shared" si="33"/>
        <v/>
      </c>
      <c r="H2098" s="39">
        <f>SUM(G2098:G2100)</f>
        <v>0.67956479999999986</v>
      </c>
      <c r="I2098" s="40"/>
      <c r="J2098" s="155">
        <v>0</v>
      </c>
    </row>
    <row r="2099" spans="1:10" ht="15" hidden="1" thickBot="1" x14ac:dyDescent="0.35">
      <c r="A2099" s="229"/>
      <c r="B2099" s="224"/>
      <c r="C2099" s="36" t="s">
        <v>108</v>
      </c>
      <c r="D2099" s="47" t="s">
        <v>12</v>
      </c>
      <c r="E2099" s="37">
        <f>0.064*0.3</f>
        <v>1.9199999999999998E-2</v>
      </c>
      <c r="F2099" s="31">
        <v>15.4955</v>
      </c>
      <c r="G2099" s="34">
        <f t="shared" si="33"/>
        <v>0.29751359999999999</v>
      </c>
      <c r="H2099" s="35"/>
      <c r="I2099" s="31"/>
      <c r="J2099" s="155">
        <v>0</v>
      </c>
    </row>
    <row r="2100" spans="1:10" ht="15" hidden="1" thickBot="1" x14ac:dyDescent="0.35">
      <c r="A2100" s="229"/>
      <c r="B2100" s="224"/>
      <c r="C2100" s="36" t="s">
        <v>39</v>
      </c>
      <c r="D2100" s="47" t="s">
        <v>12</v>
      </c>
      <c r="E2100" s="37">
        <f>0.064*0.3</f>
        <v>1.9199999999999998E-2</v>
      </c>
      <c r="F2100" s="31">
        <v>19.898499999999999</v>
      </c>
      <c r="G2100" s="34">
        <f t="shared" si="33"/>
        <v>0.38205119999999992</v>
      </c>
      <c r="H2100" s="35"/>
      <c r="I2100" s="31"/>
      <c r="J2100" s="155">
        <v>0</v>
      </c>
    </row>
    <row r="2101" spans="1:10" ht="15" hidden="1" thickBot="1" x14ac:dyDescent="0.35">
      <c r="A2101" s="229"/>
      <c r="B2101" s="224"/>
      <c r="C2101" s="36"/>
      <c r="D2101" s="47"/>
      <c r="E2101" s="37"/>
      <c r="F2101" s="34" t="s">
        <v>560</v>
      </c>
      <c r="G2101" s="34" t="str">
        <f t="shared" si="33"/>
        <v/>
      </c>
      <c r="H2101" s="35"/>
      <c r="I2101" s="31"/>
      <c r="J2101" s="155">
        <v>0</v>
      </c>
    </row>
    <row r="2102" spans="1:10" ht="40.200000000000003" hidden="1" thickBot="1" x14ac:dyDescent="0.35">
      <c r="A2102" s="229"/>
      <c r="B2102" s="224"/>
      <c r="C2102" s="52" t="s">
        <v>681</v>
      </c>
      <c r="D2102" s="47"/>
      <c r="E2102" s="37"/>
      <c r="F2102" s="34" t="s">
        <v>560</v>
      </c>
      <c r="G2102" s="34" t="str">
        <f t="shared" si="33"/>
        <v/>
      </c>
      <c r="H2102" s="35"/>
      <c r="I2102" s="31"/>
      <c r="J2102" s="155">
        <v>0</v>
      </c>
    </row>
    <row r="2103" spans="1:10" ht="15" hidden="1" thickBot="1" x14ac:dyDescent="0.35">
      <c r="A2103" s="230"/>
      <c r="B2103" s="225"/>
      <c r="C2103" s="36"/>
      <c r="D2103" s="36"/>
      <c r="E2103" s="37"/>
      <c r="F2103" s="31" t="s">
        <v>560</v>
      </c>
      <c r="G2103" s="31" t="str">
        <f t="shared" si="33"/>
        <v/>
      </c>
      <c r="H2103" s="35"/>
      <c r="I2103" s="31"/>
      <c r="J2103" s="155">
        <v>0</v>
      </c>
    </row>
    <row r="2104" spans="1:10" ht="15" hidden="1" thickBot="1" x14ac:dyDescent="0.35">
      <c r="A2104" s="226" t="s">
        <v>700</v>
      </c>
      <c r="B2104" s="223" t="e">
        <f>INDEX(#REF!,MATCH(Composições!A2104,#REF!,0),2)</f>
        <v>#REF!</v>
      </c>
      <c r="C2104" s="41"/>
      <c r="D2104" s="26" t="e">
        <f>TRIM(INDEX(#REF!,MATCH(Composições!A2104,#REF!,0),1))</f>
        <v>#REF!</v>
      </c>
      <c r="E2104" s="27"/>
      <c r="F2104" s="42" t="s">
        <v>560</v>
      </c>
      <c r="G2104" s="28" t="str">
        <f t="shared" si="33"/>
        <v/>
      </c>
      <c r="H2104" s="29"/>
      <c r="I2104" s="30"/>
      <c r="J2104" s="155">
        <v>0</v>
      </c>
    </row>
    <row r="2105" spans="1:10" ht="15" hidden="1" thickBot="1" x14ac:dyDescent="0.35">
      <c r="A2105" s="229"/>
      <c r="B2105" s="224"/>
      <c r="C2105" s="32"/>
      <c r="D2105" s="32"/>
      <c r="E2105" s="33"/>
      <c r="F2105" s="43" t="s">
        <v>560</v>
      </c>
      <c r="G2105" s="31" t="str">
        <f t="shared" si="33"/>
        <v/>
      </c>
      <c r="H2105" s="35"/>
      <c r="I2105" s="31"/>
      <c r="J2105" s="155">
        <v>0</v>
      </c>
    </row>
    <row r="2106" spans="1:10" ht="40.200000000000003" hidden="1" thickBot="1" x14ac:dyDescent="0.35">
      <c r="A2106" s="229"/>
      <c r="B2106" s="224"/>
      <c r="C2106" s="36" t="s">
        <v>701</v>
      </c>
      <c r="D2106" s="47" t="s">
        <v>93</v>
      </c>
      <c r="E2106" s="37">
        <v>1.0210999999999999</v>
      </c>
      <c r="F2106" s="34" t="s">
        <v>560</v>
      </c>
      <c r="G2106" s="34" t="str">
        <f t="shared" si="33"/>
        <v/>
      </c>
      <c r="H2106" s="39">
        <f>SUM(G2106:G2108)</f>
        <v>0.67956479999999986</v>
      </c>
      <c r="I2106" s="40"/>
      <c r="J2106" s="155">
        <v>0</v>
      </c>
    </row>
    <row r="2107" spans="1:10" ht="15" hidden="1" thickBot="1" x14ac:dyDescent="0.35">
      <c r="A2107" s="229"/>
      <c r="B2107" s="224"/>
      <c r="C2107" s="36" t="s">
        <v>108</v>
      </c>
      <c r="D2107" s="47" t="s">
        <v>12</v>
      </c>
      <c r="E2107" s="37">
        <f>0.064*0.3</f>
        <v>1.9199999999999998E-2</v>
      </c>
      <c r="F2107" s="31">
        <v>15.4955</v>
      </c>
      <c r="G2107" s="34">
        <f t="shared" si="33"/>
        <v>0.29751359999999999</v>
      </c>
      <c r="H2107" s="35"/>
      <c r="I2107" s="31"/>
      <c r="J2107" s="155">
        <v>0</v>
      </c>
    </row>
    <row r="2108" spans="1:10" ht="15" hidden="1" thickBot="1" x14ac:dyDescent="0.35">
      <c r="A2108" s="229"/>
      <c r="B2108" s="224"/>
      <c r="C2108" s="36" t="s">
        <v>39</v>
      </c>
      <c r="D2108" s="47" t="s">
        <v>12</v>
      </c>
      <c r="E2108" s="37">
        <f>0.064*0.3</f>
        <v>1.9199999999999998E-2</v>
      </c>
      <c r="F2108" s="31">
        <v>19.898499999999999</v>
      </c>
      <c r="G2108" s="34">
        <f t="shared" si="33"/>
        <v>0.38205119999999992</v>
      </c>
      <c r="H2108" s="35"/>
      <c r="I2108" s="31"/>
      <c r="J2108" s="155">
        <v>0</v>
      </c>
    </row>
    <row r="2109" spans="1:10" ht="15" hidden="1" thickBot="1" x14ac:dyDescent="0.35">
      <c r="A2109" s="229"/>
      <c r="B2109" s="224"/>
      <c r="C2109" s="36"/>
      <c r="D2109" s="47"/>
      <c r="E2109" s="37"/>
      <c r="F2109" s="34" t="s">
        <v>560</v>
      </c>
      <c r="G2109" s="34" t="str">
        <f t="shared" si="33"/>
        <v/>
      </c>
      <c r="H2109" s="35"/>
      <c r="I2109" s="31"/>
      <c r="J2109" s="155">
        <v>0</v>
      </c>
    </row>
    <row r="2110" spans="1:10" ht="40.200000000000003" hidden="1" thickBot="1" x14ac:dyDescent="0.35">
      <c r="A2110" s="229"/>
      <c r="B2110" s="224"/>
      <c r="C2110" s="52" t="s">
        <v>681</v>
      </c>
      <c r="D2110" s="47"/>
      <c r="E2110" s="37"/>
      <c r="F2110" s="34" t="s">
        <v>560</v>
      </c>
      <c r="G2110" s="34" t="str">
        <f t="shared" si="33"/>
        <v/>
      </c>
      <c r="H2110" s="35"/>
      <c r="I2110" s="31"/>
      <c r="J2110" s="155">
        <v>0</v>
      </c>
    </row>
    <row r="2111" spans="1:10" ht="15" hidden="1" thickBot="1" x14ac:dyDescent="0.35">
      <c r="A2111" s="230"/>
      <c r="B2111" s="225"/>
      <c r="C2111" s="36"/>
      <c r="D2111" s="36"/>
      <c r="E2111" s="37"/>
      <c r="F2111" s="31" t="s">
        <v>560</v>
      </c>
      <c r="G2111" s="31" t="str">
        <f t="shared" si="33"/>
        <v/>
      </c>
      <c r="H2111" s="35"/>
      <c r="I2111" s="31"/>
      <c r="J2111" s="155">
        <v>0</v>
      </c>
    </row>
    <row r="2112" spans="1:10" ht="15" hidden="1" thickBot="1" x14ac:dyDescent="0.35">
      <c r="A2112" s="226" t="s">
        <v>702</v>
      </c>
      <c r="B2112" s="223" t="e">
        <f>INDEX(#REF!,MATCH(Composições!A2112,#REF!,0),2)</f>
        <v>#REF!</v>
      </c>
      <c r="C2112" s="41"/>
      <c r="D2112" s="26" t="e">
        <f>TRIM(INDEX(#REF!,MATCH(Composições!A2112,#REF!,0),1))</f>
        <v>#REF!</v>
      </c>
      <c r="E2112" s="27"/>
      <c r="F2112" s="42" t="s">
        <v>560</v>
      </c>
      <c r="G2112" s="28" t="str">
        <f t="shared" si="33"/>
        <v/>
      </c>
      <c r="H2112" s="29"/>
      <c r="I2112" s="30"/>
      <c r="J2112" s="155">
        <v>0</v>
      </c>
    </row>
    <row r="2113" spans="1:10" ht="15" hidden="1" thickBot="1" x14ac:dyDescent="0.35">
      <c r="A2113" s="229"/>
      <c r="B2113" s="224"/>
      <c r="C2113" s="32"/>
      <c r="D2113" s="32"/>
      <c r="E2113" s="33"/>
      <c r="F2113" s="43" t="s">
        <v>560</v>
      </c>
      <c r="G2113" s="31" t="str">
        <f t="shared" si="33"/>
        <v/>
      </c>
      <c r="H2113" s="35"/>
      <c r="I2113" s="31"/>
      <c r="J2113" s="155">
        <v>0</v>
      </c>
    </row>
    <row r="2114" spans="1:10" ht="15" hidden="1" thickBot="1" x14ac:dyDescent="0.35">
      <c r="A2114" s="229"/>
      <c r="B2114" s="224"/>
      <c r="C2114" s="36" t="s">
        <v>108</v>
      </c>
      <c r="D2114" s="47" t="s">
        <v>12</v>
      </c>
      <c r="E2114" s="37">
        <v>0.2</v>
      </c>
      <c r="F2114" s="31">
        <v>15.4955</v>
      </c>
      <c r="G2114" s="34">
        <f t="shared" si="33"/>
        <v>3.0991</v>
      </c>
      <c r="H2114" s="39">
        <f>SUM(G2114:G2116)</f>
        <v>7.0787999999999993</v>
      </c>
      <c r="I2114" s="40"/>
      <c r="J2114" s="155">
        <v>0</v>
      </c>
    </row>
    <row r="2115" spans="1:10" ht="15" hidden="1" thickBot="1" x14ac:dyDescent="0.35">
      <c r="A2115" s="229"/>
      <c r="B2115" s="224"/>
      <c r="C2115" s="36" t="s">
        <v>39</v>
      </c>
      <c r="D2115" s="47" t="s">
        <v>12</v>
      </c>
      <c r="E2115" s="37">
        <v>0.2</v>
      </c>
      <c r="F2115" s="31">
        <v>19.898499999999999</v>
      </c>
      <c r="G2115" s="34">
        <f t="shared" si="33"/>
        <v>3.9796999999999998</v>
      </c>
      <c r="H2115" s="35"/>
      <c r="I2115" s="31"/>
      <c r="J2115" s="155">
        <v>0</v>
      </c>
    </row>
    <row r="2116" spans="1:10" ht="15" hidden="1" thickBot="1" x14ac:dyDescent="0.35">
      <c r="A2116" s="229"/>
      <c r="B2116" s="224"/>
      <c r="C2116" s="36" t="s">
        <v>703</v>
      </c>
      <c r="D2116" s="47" t="s">
        <v>95</v>
      </c>
      <c r="E2116" s="37">
        <v>1.05</v>
      </c>
      <c r="F2116" s="34" t="s">
        <v>560</v>
      </c>
      <c r="G2116" s="34" t="str">
        <f t="shared" si="33"/>
        <v/>
      </c>
      <c r="H2116" s="35"/>
      <c r="I2116" s="31"/>
      <c r="J2116" s="155">
        <v>0</v>
      </c>
    </row>
    <row r="2117" spans="1:10" ht="15" hidden="1" thickBot="1" x14ac:dyDescent="0.35">
      <c r="A2117" s="230"/>
      <c r="B2117" s="225"/>
      <c r="C2117" s="36"/>
      <c r="D2117" s="36"/>
      <c r="E2117" s="37"/>
      <c r="F2117" s="31" t="s">
        <v>560</v>
      </c>
      <c r="G2117" s="31" t="str">
        <f t="shared" si="33"/>
        <v/>
      </c>
      <c r="H2117" s="35"/>
      <c r="I2117" s="31"/>
      <c r="J2117" s="155">
        <v>0</v>
      </c>
    </row>
    <row r="2118" spans="1:10" ht="15" hidden="1" thickBot="1" x14ac:dyDescent="0.35">
      <c r="A2118" s="226" t="s">
        <v>704</v>
      </c>
      <c r="B2118" s="223" t="e">
        <f>INDEX(#REF!,MATCH(Composições!A2118,#REF!,0),2)</f>
        <v>#REF!</v>
      </c>
      <c r="C2118" s="41"/>
      <c r="D2118" s="26" t="e">
        <f>TRIM(INDEX(#REF!,MATCH(Composições!A2118,#REF!,0),1))</f>
        <v>#REF!</v>
      </c>
      <c r="E2118" s="27"/>
      <c r="F2118" s="42" t="s">
        <v>560</v>
      </c>
      <c r="G2118" s="28" t="str">
        <f t="shared" si="33"/>
        <v/>
      </c>
      <c r="H2118" s="29"/>
      <c r="I2118" s="30"/>
      <c r="J2118" s="155">
        <v>0</v>
      </c>
    </row>
    <row r="2119" spans="1:10" ht="15" hidden="1" thickBot="1" x14ac:dyDescent="0.35">
      <c r="A2119" s="229"/>
      <c r="B2119" s="224"/>
      <c r="C2119" s="32"/>
      <c r="D2119" s="32"/>
      <c r="E2119" s="33"/>
      <c r="F2119" s="43" t="s">
        <v>560</v>
      </c>
      <c r="G2119" s="31" t="str">
        <f t="shared" si="33"/>
        <v/>
      </c>
      <c r="H2119" s="35"/>
      <c r="I2119" s="31"/>
      <c r="J2119" s="155">
        <v>0</v>
      </c>
    </row>
    <row r="2120" spans="1:10" ht="15" hidden="1" thickBot="1" x14ac:dyDescent="0.35">
      <c r="A2120" s="229"/>
      <c r="B2120" s="224"/>
      <c r="C2120" s="36" t="s">
        <v>39</v>
      </c>
      <c r="D2120" s="47" t="s">
        <v>12</v>
      </c>
      <c r="E2120" s="37">
        <v>0.29199999999999998</v>
      </c>
      <c r="F2120" s="31">
        <v>19.898499999999999</v>
      </c>
      <c r="G2120" s="31">
        <f t="shared" si="33"/>
        <v>5.8103619999999996</v>
      </c>
      <c r="H2120" s="39">
        <f>SUM(G2120:G2122)</f>
        <v>84.819918999999999</v>
      </c>
      <c r="I2120" s="40"/>
      <c r="J2120" s="155">
        <v>0</v>
      </c>
    </row>
    <row r="2121" spans="1:10" ht="15" hidden="1" thickBot="1" x14ac:dyDescent="0.35">
      <c r="A2121" s="229"/>
      <c r="B2121" s="224"/>
      <c r="C2121" s="36" t="s">
        <v>108</v>
      </c>
      <c r="D2121" s="47" t="s">
        <v>12</v>
      </c>
      <c r="E2121" s="37">
        <v>0.29199999999999998</v>
      </c>
      <c r="F2121" s="31">
        <v>15.4955</v>
      </c>
      <c r="G2121" s="31">
        <f t="shared" si="33"/>
        <v>4.524686</v>
      </c>
      <c r="H2121" s="35"/>
      <c r="I2121" s="31"/>
      <c r="J2121" s="155">
        <v>0</v>
      </c>
    </row>
    <row r="2122" spans="1:10" ht="27" hidden="1" thickBot="1" x14ac:dyDescent="0.35">
      <c r="A2122" s="229"/>
      <c r="B2122" s="224"/>
      <c r="C2122" s="36" t="s">
        <v>705</v>
      </c>
      <c r="D2122" s="47" t="s">
        <v>93</v>
      </c>
      <c r="E2122" s="37">
        <v>1.0389999999999999</v>
      </c>
      <c r="F2122" s="34">
        <v>71.689000000000007</v>
      </c>
      <c r="G2122" s="31">
        <f t="shared" si="33"/>
        <v>74.484870999999998</v>
      </c>
      <c r="H2122" s="35"/>
      <c r="I2122" s="31"/>
      <c r="J2122" s="155">
        <v>0</v>
      </c>
    </row>
    <row r="2123" spans="1:10" ht="15" hidden="1" thickBot="1" x14ac:dyDescent="0.35">
      <c r="A2123" s="230"/>
      <c r="B2123" s="225"/>
      <c r="C2123" s="36"/>
      <c r="D2123" s="36"/>
      <c r="E2123" s="37"/>
      <c r="F2123" s="31" t="s">
        <v>560</v>
      </c>
      <c r="G2123" s="31" t="str">
        <f t="shared" si="33"/>
        <v/>
      </c>
      <c r="H2123" s="35"/>
      <c r="I2123" s="31"/>
      <c r="J2123" s="155">
        <v>0</v>
      </c>
    </row>
    <row r="2124" spans="1:10" ht="15" hidden="1" thickBot="1" x14ac:dyDescent="0.35">
      <c r="A2124" s="226" t="s">
        <v>706</v>
      </c>
      <c r="B2124" s="223" t="e">
        <f>INDEX(#REF!,MATCH(Composições!A2124,#REF!,0),2)</f>
        <v>#REF!</v>
      </c>
      <c r="C2124" s="41"/>
      <c r="D2124" s="26" t="e">
        <f>TRIM(INDEX(#REF!,MATCH(Composições!A2124,#REF!,0),1))</f>
        <v>#REF!</v>
      </c>
      <c r="E2124" s="27"/>
      <c r="F2124" s="42" t="s">
        <v>560</v>
      </c>
      <c r="G2124" s="28" t="str">
        <f t="shared" si="33"/>
        <v/>
      </c>
      <c r="H2124" s="29"/>
      <c r="I2124" s="30"/>
      <c r="J2124" s="155">
        <v>0</v>
      </c>
    </row>
    <row r="2125" spans="1:10" ht="15" hidden="1" thickBot="1" x14ac:dyDescent="0.35">
      <c r="A2125" s="229"/>
      <c r="B2125" s="224"/>
      <c r="C2125" s="32"/>
      <c r="D2125" s="32"/>
      <c r="E2125" s="33"/>
      <c r="F2125" s="43" t="s">
        <v>560</v>
      </c>
      <c r="G2125" s="31" t="str">
        <f t="shared" si="33"/>
        <v/>
      </c>
      <c r="H2125" s="35"/>
      <c r="I2125" s="31"/>
      <c r="J2125" s="155">
        <v>0</v>
      </c>
    </row>
    <row r="2126" spans="1:10" ht="15" hidden="1" thickBot="1" x14ac:dyDescent="0.35">
      <c r="A2126" s="229"/>
      <c r="B2126" s="224"/>
      <c r="C2126" s="36" t="s">
        <v>39</v>
      </c>
      <c r="D2126" s="47" t="s">
        <v>12</v>
      </c>
      <c r="E2126" s="37">
        <v>0.27500000000000002</v>
      </c>
      <c r="F2126" s="31">
        <v>19.898499999999999</v>
      </c>
      <c r="G2126" s="31">
        <f t="shared" si="33"/>
        <v>5.4720874999999998</v>
      </c>
      <c r="H2126" s="39">
        <f>SUM(G2126:G2128)</f>
        <v>78.089160000000007</v>
      </c>
      <c r="I2126" s="40"/>
      <c r="J2126" s="155">
        <v>0</v>
      </c>
    </row>
    <row r="2127" spans="1:10" ht="15" hidden="1" thickBot="1" x14ac:dyDescent="0.35">
      <c r="A2127" s="229"/>
      <c r="B2127" s="224"/>
      <c r="C2127" s="36" t="s">
        <v>108</v>
      </c>
      <c r="D2127" s="47" t="s">
        <v>12</v>
      </c>
      <c r="E2127" s="37">
        <v>0.27500000000000002</v>
      </c>
      <c r="F2127" s="31">
        <v>15.4955</v>
      </c>
      <c r="G2127" s="31">
        <f t="shared" si="33"/>
        <v>4.2612625</v>
      </c>
      <c r="H2127" s="35"/>
      <c r="I2127" s="31"/>
      <c r="J2127" s="155">
        <v>0</v>
      </c>
    </row>
    <row r="2128" spans="1:10" ht="27" hidden="1" thickBot="1" x14ac:dyDescent="0.35">
      <c r="A2128" s="229"/>
      <c r="B2128" s="224"/>
      <c r="C2128" s="36" t="s">
        <v>1925</v>
      </c>
      <c r="D2128" s="47" t="s">
        <v>93</v>
      </c>
      <c r="E2128" s="37">
        <v>1.0389999999999999</v>
      </c>
      <c r="F2128" s="31">
        <v>65.790000000000006</v>
      </c>
      <c r="G2128" s="31">
        <f t="shared" si="33"/>
        <v>68.355810000000005</v>
      </c>
      <c r="H2128" s="35"/>
      <c r="I2128" s="31"/>
      <c r="J2128" s="155">
        <v>0</v>
      </c>
    </row>
    <row r="2129" spans="1:10" ht="15" hidden="1" thickBot="1" x14ac:dyDescent="0.35">
      <c r="A2129" s="230"/>
      <c r="B2129" s="225"/>
      <c r="C2129" s="36"/>
      <c r="D2129" s="36"/>
      <c r="E2129" s="37"/>
      <c r="F2129" s="31" t="s">
        <v>560</v>
      </c>
      <c r="G2129" s="31" t="str">
        <f t="shared" si="33"/>
        <v/>
      </c>
      <c r="H2129" s="35"/>
      <c r="I2129" s="31"/>
      <c r="J2129" s="155">
        <v>0</v>
      </c>
    </row>
    <row r="2130" spans="1:10" ht="15" hidden="1" thickBot="1" x14ac:dyDescent="0.35">
      <c r="A2130" s="226" t="s">
        <v>707</v>
      </c>
      <c r="B2130" s="223" t="e">
        <f>INDEX(#REF!,MATCH(Composições!A2130,#REF!,0),2)</f>
        <v>#REF!</v>
      </c>
      <c r="C2130" s="41"/>
      <c r="D2130" s="26" t="e">
        <f>TRIM(INDEX(#REF!,MATCH(Composições!A2130,#REF!,0),1))</f>
        <v>#REF!</v>
      </c>
      <c r="E2130" s="27"/>
      <c r="F2130" s="42" t="s">
        <v>560</v>
      </c>
      <c r="G2130" s="28" t="str">
        <f t="shared" ref="G2130:G2193" si="34">IF(ISNUMBER(F2130),E2130*F2130,"")</f>
        <v/>
      </c>
      <c r="H2130" s="29"/>
      <c r="I2130" s="30"/>
      <c r="J2130" s="155">
        <v>0</v>
      </c>
    </row>
    <row r="2131" spans="1:10" ht="15" hidden="1" thickBot="1" x14ac:dyDescent="0.35">
      <c r="A2131" s="229"/>
      <c r="B2131" s="224"/>
      <c r="C2131" s="32"/>
      <c r="D2131" s="32"/>
      <c r="E2131" s="33"/>
      <c r="F2131" s="43" t="s">
        <v>560</v>
      </c>
      <c r="G2131" s="31" t="str">
        <f t="shared" si="34"/>
        <v/>
      </c>
      <c r="H2131" s="35"/>
      <c r="I2131" s="31"/>
      <c r="J2131" s="155">
        <v>0</v>
      </c>
    </row>
    <row r="2132" spans="1:10" ht="15" hidden="1" thickBot="1" x14ac:dyDescent="0.35">
      <c r="A2132" s="229"/>
      <c r="B2132" s="224"/>
      <c r="C2132" s="36" t="s">
        <v>39</v>
      </c>
      <c r="D2132" s="47" t="s">
        <v>12</v>
      </c>
      <c r="E2132" s="37">
        <v>0.29699999999999999</v>
      </c>
      <c r="F2132" s="31">
        <v>19.898499999999999</v>
      </c>
      <c r="G2132" s="34">
        <f t="shared" si="34"/>
        <v>5.9098544999999989</v>
      </c>
      <c r="H2132" s="39">
        <f>SUM(G2132:G2134)</f>
        <v>61.522761999999993</v>
      </c>
      <c r="I2132" s="40"/>
      <c r="J2132" s="155">
        <v>0</v>
      </c>
    </row>
    <row r="2133" spans="1:10" ht="15" hidden="1" thickBot="1" x14ac:dyDescent="0.35">
      <c r="A2133" s="229"/>
      <c r="B2133" s="224"/>
      <c r="C2133" s="36" t="s">
        <v>108</v>
      </c>
      <c r="D2133" s="47" t="s">
        <v>12</v>
      </c>
      <c r="E2133" s="37">
        <v>0.29699999999999999</v>
      </c>
      <c r="F2133" s="31">
        <v>15.4955</v>
      </c>
      <c r="G2133" s="34">
        <f t="shared" si="34"/>
        <v>4.6021634999999996</v>
      </c>
      <c r="H2133" s="35"/>
      <c r="I2133" s="31"/>
      <c r="J2133" s="155">
        <v>0</v>
      </c>
    </row>
    <row r="2134" spans="1:10" ht="27" hidden="1" thickBot="1" x14ac:dyDescent="0.35">
      <c r="A2134" s="229"/>
      <c r="B2134" s="224"/>
      <c r="C2134" s="36" t="s">
        <v>1926</v>
      </c>
      <c r="D2134" s="47" t="s">
        <v>93</v>
      </c>
      <c r="E2134" s="37">
        <v>1.0389999999999999</v>
      </c>
      <c r="F2134" s="31">
        <v>49.095999999999997</v>
      </c>
      <c r="G2134" s="34">
        <f t="shared" si="34"/>
        <v>51.010743999999995</v>
      </c>
      <c r="H2134" s="35"/>
      <c r="I2134" s="31"/>
      <c r="J2134" s="155">
        <v>0</v>
      </c>
    </row>
    <row r="2135" spans="1:10" ht="15" hidden="1" thickBot="1" x14ac:dyDescent="0.35">
      <c r="A2135" s="230"/>
      <c r="B2135" s="225"/>
      <c r="C2135" s="36"/>
      <c r="D2135" s="36"/>
      <c r="E2135" s="37"/>
      <c r="F2135" s="31" t="s">
        <v>560</v>
      </c>
      <c r="G2135" s="31" t="str">
        <f t="shared" si="34"/>
        <v/>
      </c>
      <c r="H2135" s="35"/>
      <c r="I2135" s="31"/>
      <c r="J2135" s="155">
        <v>0</v>
      </c>
    </row>
    <row r="2136" spans="1:10" ht="15" hidden="1" thickBot="1" x14ac:dyDescent="0.35">
      <c r="A2136" s="226" t="s">
        <v>708</v>
      </c>
      <c r="B2136" s="223" t="e">
        <f>INDEX(#REF!,MATCH(Composições!A2136,#REF!,0),2)</f>
        <v>#REF!</v>
      </c>
      <c r="C2136" s="41"/>
      <c r="D2136" s="26" t="e">
        <f>TRIM(INDEX(#REF!,MATCH(Composições!A2136,#REF!,0),1))</f>
        <v>#REF!</v>
      </c>
      <c r="E2136" s="27"/>
      <c r="F2136" s="42" t="s">
        <v>560</v>
      </c>
      <c r="G2136" s="28" t="str">
        <f t="shared" si="34"/>
        <v/>
      </c>
      <c r="H2136" s="29"/>
      <c r="I2136" s="30"/>
      <c r="J2136" s="155">
        <v>0</v>
      </c>
    </row>
    <row r="2137" spans="1:10" ht="15" hidden="1" thickBot="1" x14ac:dyDescent="0.35">
      <c r="A2137" s="229"/>
      <c r="B2137" s="224"/>
      <c r="C2137" s="32"/>
      <c r="D2137" s="32"/>
      <c r="E2137" s="33"/>
      <c r="F2137" s="43" t="s">
        <v>560</v>
      </c>
      <c r="G2137" s="31" t="str">
        <f t="shared" si="34"/>
        <v/>
      </c>
      <c r="H2137" s="35"/>
      <c r="I2137" s="31"/>
      <c r="J2137" s="155">
        <v>0</v>
      </c>
    </row>
    <row r="2138" spans="1:10" ht="15" hidden="1" thickBot="1" x14ac:dyDescent="0.35">
      <c r="A2138" s="229"/>
      <c r="B2138" s="224"/>
      <c r="C2138" s="36" t="s">
        <v>39</v>
      </c>
      <c r="D2138" s="47" t="s">
        <v>12</v>
      </c>
      <c r="E2138" s="37">
        <v>0.29699999999999999</v>
      </c>
      <c r="F2138" s="31">
        <v>19.898499999999999</v>
      </c>
      <c r="G2138" s="31">
        <f t="shared" si="34"/>
        <v>5.9098544999999989</v>
      </c>
      <c r="H2138" s="39">
        <f>SUM(G2138:G2140)</f>
        <v>55.835275999999993</v>
      </c>
      <c r="I2138" s="40"/>
      <c r="J2138" s="155">
        <v>0</v>
      </c>
    </row>
    <row r="2139" spans="1:10" ht="15" hidden="1" thickBot="1" x14ac:dyDescent="0.35">
      <c r="A2139" s="229"/>
      <c r="B2139" s="224"/>
      <c r="C2139" s="36" t="s">
        <v>108</v>
      </c>
      <c r="D2139" s="47" t="s">
        <v>12</v>
      </c>
      <c r="E2139" s="37">
        <v>0.29699999999999999</v>
      </c>
      <c r="F2139" s="31">
        <v>15.4955</v>
      </c>
      <c r="G2139" s="31">
        <f t="shared" si="34"/>
        <v>4.6021634999999996</v>
      </c>
      <c r="H2139" s="35"/>
      <c r="I2139" s="31"/>
      <c r="J2139" s="155">
        <v>0</v>
      </c>
    </row>
    <row r="2140" spans="1:10" ht="27" hidden="1" thickBot="1" x14ac:dyDescent="0.35">
      <c r="A2140" s="229"/>
      <c r="B2140" s="224"/>
      <c r="C2140" s="36" t="s">
        <v>709</v>
      </c>
      <c r="D2140" s="47" t="s">
        <v>93</v>
      </c>
      <c r="E2140" s="37">
        <v>1.0389999999999999</v>
      </c>
      <c r="F2140" s="34">
        <v>43.622</v>
      </c>
      <c r="G2140" s="31">
        <f t="shared" si="34"/>
        <v>45.323257999999996</v>
      </c>
      <c r="H2140" s="35"/>
      <c r="I2140" s="31"/>
      <c r="J2140" s="155">
        <v>0</v>
      </c>
    </row>
    <row r="2141" spans="1:10" ht="15" hidden="1" thickBot="1" x14ac:dyDescent="0.35">
      <c r="A2141" s="230"/>
      <c r="B2141" s="225"/>
      <c r="C2141" s="36"/>
      <c r="D2141" s="36"/>
      <c r="E2141" s="37"/>
      <c r="F2141" s="31" t="s">
        <v>560</v>
      </c>
      <c r="G2141" s="31" t="str">
        <f t="shared" si="34"/>
        <v/>
      </c>
      <c r="H2141" s="35"/>
      <c r="I2141" s="31"/>
      <c r="J2141" s="155">
        <v>0</v>
      </c>
    </row>
    <row r="2142" spans="1:10" ht="15" hidden="1" thickBot="1" x14ac:dyDescent="0.35">
      <c r="A2142" s="226" t="s">
        <v>710</v>
      </c>
      <c r="B2142" s="223" t="e">
        <f>INDEX(#REF!,MATCH(Composições!A2142,#REF!,0),2)</f>
        <v>#REF!</v>
      </c>
      <c r="C2142" s="41"/>
      <c r="D2142" s="26" t="e">
        <f>TRIM(INDEX(#REF!,MATCH(Composições!A2142,#REF!,0),1))</f>
        <v>#REF!</v>
      </c>
      <c r="E2142" s="27"/>
      <c r="F2142" s="42" t="s">
        <v>560</v>
      </c>
      <c r="G2142" s="28" t="str">
        <f t="shared" si="34"/>
        <v/>
      </c>
      <c r="H2142" s="29"/>
      <c r="I2142" s="30"/>
      <c r="J2142" s="155">
        <v>0</v>
      </c>
    </row>
    <row r="2143" spans="1:10" ht="15" hidden="1" thickBot="1" x14ac:dyDescent="0.35">
      <c r="A2143" s="229"/>
      <c r="B2143" s="224"/>
      <c r="C2143" s="32"/>
      <c r="D2143" s="32"/>
      <c r="E2143" s="33"/>
      <c r="F2143" s="43" t="s">
        <v>560</v>
      </c>
      <c r="G2143" s="31" t="str">
        <f t="shared" si="34"/>
        <v/>
      </c>
      <c r="H2143" s="35"/>
      <c r="I2143" s="31"/>
      <c r="J2143" s="155">
        <v>0</v>
      </c>
    </row>
    <row r="2144" spans="1:10" ht="27" hidden="1" thickBot="1" x14ac:dyDescent="0.35">
      <c r="A2144" s="229"/>
      <c r="B2144" s="224"/>
      <c r="C2144" s="36" t="s">
        <v>711</v>
      </c>
      <c r="D2144" s="47" t="s">
        <v>93</v>
      </c>
      <c r="E2144" s="37">
        <v>1.0210999999999999</v>
      </c>
      <c r="F2144" s="34">
        <v>35.793500000000002</v>
      </c>
      <c r="G2144" s="34">
        <f t="shared" si="34"/>
        <v>36.548742849999996</v>
      </c>
      <c r="H2144" s="39">
        <f>SUM(G2144:G2146)</f>
        <v>38.060066649999996</v>
      </c>
      <c r="I2144" s="40"/>
      <c r="J2144" s="155">
        <v>0</v>
      </c>
    </row>
    <row r="2145" spans="1:10" ht="15" hidden="1" thickBot="1" x14ac:dyDescent="0.35">
      <c r="A2145" s="229"/>
      <c r="B2145" s="224"/>
      <c r="C2145" s="36" t="s">
        <v>108</v>
      </c>
      <c r="D2145" s="47" t="s">
        <v>12</v>
      </c>
      <c r="E2145" s="37">
        <f>0.061*0.7</f>
        <v>4.2699999999999995E-2</v>
      </c>
      <c r="F2145" s="31">
        <v>15.4955</v>
      </c>
      <c r="G2145" s="34">
        <f t="shared" si="34"/>
        <v>0.66165784999999988</v>
      </c>
      <c r="H2145" s="35"/>
      <c r="I2145" s="31"/>
      <c r="J2145" s="155">
        <v>0</v>
      </c>
    </row>
    <row r="2146" spans="1:10" ht="15" hidden="1" thickBot="1" x14ac:dyDescent="0.35">
      <c r="A2146" s="229"/>
      <c r="B2146" s="224"/>
      <c r="C2146" s="36" t="s">
        <v>39</v>
      </c>
      <c r="D2146" s="47" t="s">
        <v>12</v>
      </c>
      <c r="E2146" s="37">
        <f>0.061*0.7</f>
        <v>4.2699999999999995E-2</v>
      </c>
      <c r="F2146" s="31">
        <v>19.898499999999999</v>
      </c>
      <c r="G2146" s="34">
        <f t="shared" si="34"/>
        <v>0.84966594999999978</v>
      </c>
      <c r="H2146" s="35"/>
      <c r="I2146" s="31"/>
      <c r="J2146" s="155">
        <v>0</v>
      </c>
    </row>
    <row r="2147" spans="1:10" ht="15" hidden="1" thickBot="1" x14ac:dyDescent="0.35">
      <c r="A2147" s="229"/>
      <c r="B2147" s="224"/>
      <c r="C2147" s="36"/>
      <c r="D2147" s="47"/>
      <c r="E2147" s="37"/>
      <c r="F2147" s="31" t="s">
        <v>560</v>
      </c>
      <c r="G2147" s="34" t="str">
        <f t="shared" si="34"/>
        <v/>
      </c>
      <c r="H2147" s="35"/>
      <c r="I2147" s="31"/>
      <c r="J2147" s="155">
        <v>0</v>
      </c>
    </row>
    <row r="2148" spans="1:10" ht="40.200000000000003" hidden="1" thickBot="1" x14ac:dyDescent="0.35">
      <c r="A2148" s="229"/>
      <c r="B2148" s="224"/>
      <c r="C2148" s="52" t="s">
        <v>681</v>
      </c>
      <c r="D2148" s="47"/>
      <c r="E2148" s="37"/>
      <c r="F2148" s="31" t="s">
        <v>560</v>
      </c>
      <c r="G2148" s="34" t="str">
        <f t="shared" si="34"/>
        <v/>
      </c>
      <c r="H2148" s="35"/>
      <c r="I2148" s="31"/>
      <c r="J2148" s="155">
        <v>0</v>
      </c>
    </row>
    <row r="2149" spans="1:10" ht="15" hidden="1" thickBot="1" x14ac:dyDescent="0.35">
      <c r="A2149" s="230"/>
      <c r="B2149" s="225"/>
      <c r="C2149" s="36"/>
      <c r="D2149" s="36"/>
      <c r="E2149" s="37"/>
      <c r="F2149" s="31" t="s">
        <v>560</v>
      </c>
      <c r="G2149" s="31" t="str">
        <f t="shared" si="34"/>
        <v/>
      </c>
      <c r="H2149" s="35"/>
      <c r="I2149" s="31"/>
      <c r="J2149" s="155">
        <v>0</v>
      </c>
    </row>
    <row r="2150" spans="1:10" ht="15" hidden="1" thickBot="1" x14ac:dyDescent="0.35">
      <c r="A2150" s="226" t="s">
        <v>712</v>
      </c>
      <c r="B2150" s="223" t="e">
        <f>INDEX(#REF!,MATCH(Composições!A2150,#REF!,0),2)</f>
        <v>#REF!</v>
      </c>
      <c r="C2150" s="41"/>
      <c r="D2150" s="26" t="e">
        <f>TRIM(INDEX(#REF!,MATCH(Composições!A2150,#REF!,0),1))</f>
        <v>#REF!</v>
      </c>
      <c r="E2150" s="27"/>
      <c r="F2150" s="42" t="s">
        <v>560</v>
      </c>
      <c r="G2150" s="28" t="str">
        <f t="shared" si="34"/>
        <v/>
      </c>
      <c r="H2150" s="29"/>
      <c r="I2150" s="30"/>
      <c r="J2150" s="155">
        <v>0</v>
      </c>
    </row>
    <row r="2151" spans="1:10" ht="15" hidden="1" thickBot="1" x14ac:dyDescent="0.35">
      <c r="A2151" s="229"/>
      <c r="B2151" s="224"/>
      <c r="C2151" s="32"/>
      <c r="D2151" s="32"/>
      <c r="E2151" s="33"/>
      <c r="F2151" s="43" t="s">
        <v>560</v>
      </c>
      <c r="G2151" s="31" t="str">
        <f t="shared" si="34"/>
        <v/>
      </c>
      <c r="H2151" s="35"/>
      <c r="I2151" s="31"/>
      <c r="J2151" s="155">
        <v>0</v>
      </c>
    </row>
    <row r="2152" spans="1:10" ht="27" hidden="1" thickBot="1" x14ac:dyDescent="0.35">
      <c r="A2152" s="229"/>
      <c r="B2152" s="224"/>
      <c r="C2152" s="36" t="s">
        <v>713</v>
      </c>
      <c r="D2152" s="47" t="s">
        <v>93</v>
      </c>
      <c r="E2152" s="37">
        <v>1.0210999999999999</v>
      </c>
      <c r="F2152" s="34">
        <v>17.152999999999999</v>
      </c>
      <c r="G2152" s="34">
        <f t="shared" si="34"/>
        <v>17.514928299999998</v>
      </c>
      <c r="H2152" s="39">
        <f>SUM(G2152:G2154)</f>
        <v>18.803269899999997</v>
      </c>
      <c r="I2152" s="40"/>
      <c r="J2152" s="155">
        <v>0</v>
      </c>
    </row>
    <row r="2153" spans="1:10" ht="15" hidden="1" thickBot="1" x14ac:dyDescent="0.35">
      <c r="A2153" s="229"/>
      <c r="B2153" s="224"/>
      <c r="C2153" s="36" t="s">
        <v>108</v>
      </c>
      <c r="D2153" s="47" t="s">
        <v>12</v>
      </c>
      <c r="E2153" s="37">
        <f>0.052*0.7</f>
        <v>3.6399999999999995E-2</v>
      </c>
      <c r="F2153" s="31">
        <v>15.4955</v>
      </c>
      <c r="G2153" s="34">
        <f t="shared" si="34"/>
        <v>0.56403619999999988</v>
      </c>
      <c r="H2153" s="35"/>
      <c r="I2153" s="31"/>
      <c r="J2153" s="155">
        <v>0</v>
      </c>
    </row>
    <row r="2154" spans="1:10" ht="15" hidden="1" thickBot="1" x14ac:dyDescent="0.35">
      <c r="A2154" s="229"/>
      <c r="B2154" s="224"/>
      <c r="C2154" s="36" t="s">
        <v>39</v>
      </c>
      <c r="D2154" s="47" t="s">
        <v>12</v>
      </c>
      <c r="E2154" s="37">
        <f>0.052*0.7</f>
        <v>3.6399999999999995E-2</v>
      </c>
      <c r="F2154" s="31">
        <v>19.898499999999999</v>
      </c>
      <c r="G2154" s="34">
        <f t="shared" si="34"/>
        <v>0.72430539999999988</v>
      </c>
      <c r="H2154" s="35"/>
      <c r="I2154" s="31"/>
      <c r="J2154" s="155">
        <v>0</v>
      </c>
    </row>
    <row r="2155" spans="1:10" ht="15" hidden="1" thickBot="1" x14ac:dyDescent="0.35">
      <c r="A2155" s="229"/>
      <c r="B2155" s="224"/>
      <c r="C2155" s="36"/>
      <c r="D2155" s="47"/>
      <c r="E2155" s="37"/>
      <c r="F2155" s="34" t="s">
        <v>560</v>
      </c>
      <c r="G2155" s="34" t="str">
        <f t="shared" si="34"/>
        <v/>
      </c>
      <c r="H2155" s="35"/>
      <c r="I2155" s="31"/>
      <c r="J2155" s="155">
        <v>0</v>
      </c>
    </row>
    <row r="2156" spans="1:10" ht="40.200000000000003" hidden="1" thickBot="1" x14ac:dyDescent="0.35">
      <c r="A2156" s="229"/>
      <c r="B2156" s="224"/>
      <c r="C2156" s="52" t="s">
        <v>681</v>
      </c>
      <c r="D2156" s="47"/>
      <c r="E2156" s="37"/>
      <c r="F2156" s="34" t="s">
        <v>560</v>
      </c>
      <c r="G2156" s="34" t="str">
        <f t="shared" si="34"/>
        <v/>
      </c>
      <c r="H2156" s="35"/>
      <c r="I2156" s="31"/>
      <c r="J2156" s="155">
        <v>0</v>
      </c>
    </row>
    <row r="2157" spans="1:10" ht="15" hidden="1" thickBot="1" x14ac:dyDescent="0.35">
      <c r="A2157" s="230"/>
      <c r="B2157" s="225"/>
      <c r="C2157" s="36"/>
      <c r="D2157" s="36"/>
      <c r="E2157" s="37"/>
      <c r="F2157" s="31" t="s">
        <v>560</v>
      </c>
      <c r="G2157" s="31" t="str">
        <f t="shared" si="34"/>
        <v/>
      </c>
      <c r="H2157" s="35"/>
      <c r="I2157" s="31"/>
      <c r="J2157" s="155">
        <v>0</v>
      </c>
    </row>
    <row r="2158" spans="1:10" ht="15" hidden="1" thickBot="1" x14ac:dyDescent="0.35">
      <c r="A2158" s="226" t="s">
        <v>714</v>
      </c>
      <c r="B2158" s="223" t="e">
        <f>INDEX(#REF!,MATCH(Composições!A2158,#REF!,0),2)</f>
        <v>#REF!</v>
      </c>
      <c r="C2158" s="41"/>
      <c r="D2158" s="26" t="e">
        <f>TRIM(INDEX(#REF!,MATCH(Composições!A2158,#REF!,0),1))</f>
        <v>#REF!</v>
      </c>
      <c r="E2158" s="27"/>
      <c r="F2158" s="42" t="s">
        <v>560</v>
      </c>
      <c r="G2158" s="28" t="str">
        <f t="shared" si="34"/>
        <v/>
      </c>
      <c r="H2158" s="29"/>
      <c r="I2158" s="30"/>
      <c r="J2158" s="155">
        <v>0</v>
      </c>
    </row>
    <row r="2159" spans="1:10" ht="15" hidden="1" thickBot="1" x14ac:dyDescent="0.35">
      <c r="A2159" s="229"/>
      <c r="B2159" s="224"/>
      <c r="C2159" s="32"/>
      <c r="D2159" s="32"/>
      <c r="E2159" s="33"/>
      <c r="F2159" s="43" t="s">
        <v>560</v>
      </c>
      <c r="G2159" s="31" t="str">
        <f t="shared" si="34"/>
        <v/>
      </c>
      <c r="H2159" s="35"/>
      <c r="I2159" s="31"/>
      <c r="J2159" s="155">
        <v>0</v>
      </c>
    </row>
    <row r="2160" spans="1:10" ht="27" hidden="1" thickBot="1" x14ac:dyDescent="0.35">
      <c r="A2160" s="229"/>
      <c r="B2160" s="224"/>
      <c r="C2160" s="36" t="s">
        <v>715</v>
      </c>
      <c r="D2160" s="47" t="s">
        <v>93</v>
      </c>
      <c r="E2160" s="37">
        <v>1.0210999999999999</v>
      </c>
      <c r="F2160" s="34">
        <v>53.838999999999999</v>
      </c>
      <c r="G2160" s="34">
        <f t="shared" si="34"/>
        <v>54.975002899999993</v>
      </c>
      <c r="H2160" s="39">
        <f>SUM(G2160:G2162)</f>
        <v>56.560654099999994</v>
      </c>
      <c r="I2160" s="40"/>
      <c r="J2160" s="155">
        <v>0</v>
      </c>
    </row>
    <row r="2161" spans="1:10" ht="15" hidden="1" thickBot="1" x14ac:dyDescent="0.35">
      <c r="A2161" s="229"/>
      <c r="B2161" s="224"/>
      <c r="C2161" s="36" t="s">
        <v>108</v>
      </c>
      <c r="D2161" s="47" t="s">
        <v>12</v>
      </c>
      <c r="E2161" s="37">
        <f>0.064*0.7</f>
        <v>4.48E-2</v>
      </c>
      <c r="F2161" s="31">
        <v>15.4955</v>
      </c>
      <c r="G2161" s="34">
        <f t="shared" si="34"/>
        <v>0.69419839999999999</v>
      </c>
      <c r="H2161" s="35"/>
      <c r="I2161" s="31"/>
      <c r="J2161" s="155">
        <v>0</v>
      </c>
    </row>
    <row r="2162" spans="1:10" ht="15" hidden="1" thickBot="1" x14ac:dyDescent="0.35">
      <c r="A2162" s="229"/>
      <c r="B2162" s="224"/>
      <c r="C2162" s="36" t="s">
        <v>39</v>
      </c>
      <c r="D2162" s="47" t="s">
        <v>12</v>
      </c>
      <c r="E2162" s="37">
        <f>0.064*0.7</f>
        <v>4.48E-2</v>
      </c>
      <c r="F2162" s="31">
        <v>19.898499999999999</v>
      </c>
      <c r="G2162" s="34">
        <f t="shared" si="34"/>
        <v>0.89145279999999993</v>
      </c>
      <c r="H2162" s="35"/>
      <c r="I2162" s="31"/>
      <c r="J2162" s="155">
        <v>0</v>
      </c>
    </row>
    <row r="2163" spans="1:10" ht="15" hidden="1" thickBot="1" x14ac:dyDescent="0.35">
      <c r="A2163" s="229"/>
      <c r="B2163" s="224"/>
      <c r="C2163" s="36"/>
      <c r="D2163" s="47"/>
      <c r="E2163" s="37"/>
      <c r="F2163" s="34" t="s">
        <v>560</v>
      </c>
      <c r="G2163" s="34" t="str">
        <f t="shared" si="34"/>
        <v/>
      </c>
      <c r="H2163" s="35"/>
      <c r="I2163" s="31"/>
      <c r="J2163" s="155">
        <v>0</v>
      </c>
    </row>
    <row r="2164" spans="1:10" ht="40.200000000000003" hidden="1" thickBot="1" x14ac:dyDescent="0.35">
      <c r="A2164" s="229"/>
      <c r="B2164" s="224"/>
      <c r="C2164" s="52" t="s">
        <v>681</v>
      </c>
      <c r="D2164" s="47"/>
      <c r="E2164" s="37"/>
      <c r="F2164" s="34" t="s">
        <v>560</v>
      </c>
      <c r="G2164" s="34" t="str">
        <f t="shared" si="34"/>
        <v/>
      </c>
      <c r="H2164" s="35"/>
      <c r="I2164" s="31"/>
      <c r="J2164" s="155">
        <v>0</v>
      </c>
    </row>
    <row r="2165" spans="1:10" ht="15" hidden="1" thickBot="1" x14ac:dyDescent="0.35">
      <c r="A2165" s="230"/>
      <c r="B2165" s="225"/>
      <c r="C2165" s="36"/>
      <c r="D2165" s="36"/>
      <c r="E2165" s="37"/>
      <c r="F2165" s="31" t="s">
        <v>560</v>
      </c>
      <c r="G2165" s="31" t="str">
        <f t="shared" si="34"/>
        <v/>
      </c>
      <c r="H2165" s="35"/>
      <c r="I2165" s="31"/>
      <c r="J2165" s="155">
        <v>0</v>
      </c>
    </row>
    <row r="2166" spans="1:10" ht="15" hidden="1" thickBot="1" x14ac:dyDescent="0.35">
      <c r="A2166" s="226" t="s">
        <v>716</v>
      </c>
      <c r="B2166" s="223" t="e">
        <f>INDEX(#REF!,MATCH(Composições!A2166,#REF!,0),2)</f>
        <v>#REF!</v>
      </c>
      <c r="C2166" s="41"/>
      <c r="D2166" s="26" t="e">
        <f>TRIM(INDEX(#REF!,MATCH(Composições!A2166,#REF!,0),1))</f>
        <v>#REF!</v>
      </c>
      <c r="E2166" s="27"/>
      <c r="F2166" s="42" t="s">
        <v>560</v>
      </c>
      <c r="G2166" s="28" t="str">
        <f t="shared" si="34"/>
        <v/>
      </c>
      <c r="H2166" s="29"/>
      <c r="I2166" s="30"/>
      <c r="J2166" s="155">
        <v>0</v>
      </c>
    </row>
    <row r="2167" spans="1:10" ht="15" hidden="1" thickBot="1" x14ac:dyDescent="0.35">
      <c r="A2167" s="229"/>
      <c r="B2167" s="224"/>
      <c r="C2167" s="32"/>
      <c r="D2167" s="32"/>
      <c r="E2167" s="33"/>
      <c r="F2167" s="43" t="s">
        <v>560</v>
      </c>
      <c r="G2167" s="31" t="str">
        <f t="shared" si="34"/>
        <v/>
      </c>
      <c r="H2167" s="35"/>
      <c r="I2167" s="31"/>
      <c r="J2167" s="155">
        <v>0</v>
      </c>
    </row>
    <row r="2168" spans="1:10" ht="27" hidden="1" thickBot="1" x14ac:dyDescent="0.35">
      <c r="A2168" s="229"/>
      <c r="B2168" s="224"/>
      <c r="C2168" s="36" t="s">
        <v>717</v>
      </c>
      <c r="D2168" s="47" t="s">
        <v>93</v>
      </c>
      <c r="E2168" s="37">
        <v>1.0210999999999999</v>
      </c>
      <c r="F2168" s="34">
        <v>26.384</v>
      </c>
      <c r="G2168" s="34">
        <f t="shared" si="34"/>
        <v>26.940702399999999</v>
      </c>
      <c r="H2168" s="39">
        <f>SUM(G2168:G2170)</f>
        <v>28.352923000000001</v>
      </c>
      <c r="I2168" s="40"/>
      <c r="J2168" s="155">
        <v>0</v>
      </c>
    </row>
    <row r="2169" spans="1:10" ht="15" hidden="1" thickBot="1" x14ac:dyDescent="0.35">
      <c r="A2169" s="229"/>
      <c r="B2169" s="224"/>
      <c r="C2169" s="36" t="s">
        <v>108</v>
      </c>
      <c r="D2169" s="47" t="s">
        <v>12</v>
      </c>
      <c r="E2169" s="37">
        <f>0.057*0.7</f>
        <v>3.9899999999999998E-2</v>
      </c>
      <c r="F2169" s="31">
        <v>15.4955</v>
      </c>
      <c r="G2169" s="34">
        <f t="shared" si="34"/>
        <v>0.61827044999999992</v>
      </c>
      <c r="H2169" s="35"/>
      <c r="I2169" s="31"/>
      <c r="J2169" s="155">
        <v>0</v>
      </c>
    </row>
    <row r="2170" spans="1:10" ht="15" hidden="1" thickBot="1" x14ac:dyDescent="0.35">
      <c r="A2170" s="229"/>
      <c r="B2170" s="224"/>
      <c r="C2170" s="36" t="s">
        <v>39</v>
      </c>
      <c r="D2170" s="47" t="s">
        <v>12</v>
      </c>
      <c r="E2170" s="37">
        <f>0.057*0.7</f>
        <v>3.9899999999999998E-2</v>
      </c>
      <c r="F2170" s="31">
        <v>19.898499999999999</v>
      </c>
      <c r="G2170" s="34">
        <f t="shared" si="34"/>
        <v>0.79395014999999991</v>
      </c>
      <c r="H2170" s="35"/>
      <c r="I2170" s="31"/>
      <c r="J2170" s="155">
        <v>0</v>
      </c>
    </row>
    <row r="2171" spans="1:10" ht="15" hidden="1" thickBot="1" x14ac:dyDescent="0.35">
      <c r="A2171" s="229"/>
      <c r="B2171" s="224"/>
      <c r="C2171" s="36"/>
      <c r="D2171" s="47"/>
      <c r="E2171" s="37"/>
      <c r="F2171" s="34" t="s">
        <v>560</v>
      </c>
      <c r="G2171" s="34" t="str">
        <f t="shared" si="34"/>
        <v/>
      </c>
      <c r="H2171" s="35"/>
      <c r="I2171" s="31"/>
      <c r="J2171" s="155">
        <v>0</v>
      </c>
    </row>
    <row r="2172" spans="1:10" ht="40.200000000000003" hidden="1" thickBot="1" x14ac:dyDescent="0.35">
      <c r="A2172" s="229"/>
      <c r="B2172" s="224"/>
      <c r="C2172" s="52" t="s">
        <v>681</v>
      </c>
      <c r="D2172" s="47"/>
      <c r="E2172" s="37"/>
      <c r="F2172" s="34" t="s">
        <v>560</v>
      </c>
      <c r="G2172" s="34" t="str">
        <f t="shared" si="34"/>
        <v/>
      </c>
      <c r="H2172" s="35"/>
      <c r="I2172" s="31"/>
      <c r="J2172" s="155">
        <v>0</v>
      </c>
    </row>
    <row r="2173" spans="1:10" ht="15" hidden="1" thickBot="1" x14ac:dyDescent="0.35">
      <c r="A2173" s="230"/>
      <c r="B2173" s="225"/>
      <c r="C2173" s="36"/>
      <c r="D2173" s="36"/>
      <c r="E2173" s="37"/>
      <c r="F2173" s="31" t="s">
        <v>560</v>
      </c>
      <c r="G2173" s="31" t="str">
        <f t="shared" si="34"/>
        <v/>
      </c>
      <c r="H2173" s="35"/>
      <c r="I2173" s="31"/>
      <c r="J2173" s="155">
        <v>0</v>
      </c>
    </row>
    <row r="2174" spans="1:10" ht="15" hidden="1" thickBot="1" x14ac:dyDescent="0.35">
      <c r="A2174" s="226" t="s">
        <v>718</v>
      </c>
      <c r="B2174" s="223" t="e">
        <f>INDEX(#REF!,MATCH(Composições!A2174,#REF!,0),2)</f>
        <v>#REF!</v>
      </c>
      <c r="C2174" s="41"/>
      <c r="D2174" s="26" t="e">
        <f>TRIM(INDEX(#REF!,MATCH(Composições!A2174,#REF!,0),1))</f>
        <v>#REF!</v>
      </c>
      <c r="E2174" s="27"/>
      <c r="F2174" s="42" t="s">
        <v>560</v>
      </c>
      <c r="G2174" s="28" t="str">
        <f t="shared" si="34"/>
        <v/>
      </c>
      <c r="H2174" s="29"/>
      <c r="I2174" s="30"/>
      <c r="J2174" s="155">
        <v>0</v>
      </c>
    </row>
    <row r="2175" spans="1:10" ht="15" hidden="1" thickBot="1" x14ac:dyDescent="0.35">
      <c r="A2175" s="229"/>
      <c r="B2175" s="224"/>
      <c r="C2175" s="32"/>
      <c r="D2175" s="32"/>
      <c r="E2175" s="33"/>
      <c r="F2175" s="43" t="s">
        <v>560</v>
      </c>
      <c r="G2175" s="31" t="str">
        <f t="shared" si="34"/>
        <v/>
      </c>
      <c r="H2175" s="35"/>
      <c r="I2175" s="31"/>
      <c r="J2175" s="155">
        <v>0</v>
      </c>
    </row>
    <row r="2176" spans="1:10" ht="27" hidden="1" thickBot="1" x14ac:dyDescent="0.35">
      <c r="A2176" s="229"/>
      <c r="B2176" s="224"/>
      <c r="C2176" s="36" t="s">
        <v>719</v>
      </c>
      <c r="D2176" s="47" t="s">
        <v>93</v>
      </c>
      <c r="E2176" s="37">
        <v>1.0210999999999999</v>
      </c>
      <c r="F2176" s="34">
        <v>44.514499999999998</v>
      </c>
      <c r="G2176" s="34">
        <f t="shared" si="34"/>
        <v>45.453755949999994</v>
      </c>
      <c r="H2176" s="39">
        <f>SUM(G2176:G2178)</f>
        <v>47.039407149999995</v>
      </c>
      <c r="I2176" s="40"/>
      <c r="J2176" s="155">
        <v>0</v>
      </c>
    </row>
    <row r="2177" spans="1:10" ht="15" hidden="1" thickBot="1" x14ac:dyDescent="0.35">
      <c r="A2177" s="229"/>
      <c r="B2177" s="224"/>
      <c r="C2177" s="36" t="s">
        <v>108</v>
      </c>
      <c r="D2177" s="47" t="s">
        <v>12</v>
      </c>
      <c r="E2177" s="37">
        <f>0.064*0.7</f>
        <v>4.48E-2</v>
      </c>
      <c r="F2177" s="31">
        <v>15.4955</v>
      </c>
      <c r="G2177" s="34">
        <f t="shared" si="34"/>
        <v>0.69419839999999999</v>
      </c>
      <c r="H2177" s="35"/>
      <c r="I2177" s="31"/>
      <c r="J2177" s="155">
        <v>0</v>
      </c>
    </row>
    <row r="2178" spans="1:10" ht="15" hidden="1" thickBot="1" x14ac:dyDescent="0.35">
      <c r="A2178" s="229"/>
      <c r="B2178" s="224"/>
      <c r="C2178" s="36" t="s">
        <v>39</v>
      </c>
      <c r="D2178" s="47" t="s">
        <v>12</v>
      </c>
      <c r="E2178" s="37">
        <f>0.064*0.7</f>
        <v>4.48E-2</v>
      </c>
      <c r="F2178" s="31">
        <v>19.898499999999999</v>
      </c>
      <c r="G2178" s="34">
        <f t="shared" si="34"/>
        <v>0.89145279999999993</v>
      </c>
      <c r="H2178" s="35"/>
      <c r="I2178" s="31"/>
      <c r="J2178" s="155">
        <v>0</v>
      </c>
    </row>
    <row r="2179" spans="1:10" ht="15" hidden="1" thickBot="1" x14ac:dyDescent="0.35">
      <c r="A2179" s="229"/>
      <c r="B2179" s="224"/>
      <c r="C2179" s="36"/>
      <c r="D2179" s="47"/>
      <c r="E2179" s="37"/>
      <c r="F2179" s="34" t="s">
        <v>560</v>
      </c>
      <c r="G2179" s="34" t="str">
        <f t="shared" si="34"/>
        <v/>
      </c>
      <c r="H2179" s="35"/>
      <c r="I2179" s="31"/>
      <c r="J2179" s="155">
        <v>0</v>
      </c>
    </row>
    <row r="2180" spans="1:10" ht="40.200000000000003" hidden="1" thickBot="1" x14ac:dyDescent="0.35">
      <c r="A2180" s="229"/>
      <c r="B2180" s="224"/>
      <c r="C2180" s="52" t="s">
        <v>681</v>
      </c>
      <c r="D2180" s="47"/>
      <c r="E2180" s="37"/>
      <c r="F2180" s="34" t="s">
        <v>560</v>
      </c>
      <c r="G2180" s="34" t="str">
        <f t="shared" si="34"/>
        <v/>
      </c>
      <c r="H2180" s="35"/>
      <c r="I2180" s="31"/>
      <c r="J2180" s="155">
        <v>0</v>
      </c>
    </row>
    <row r="2181" spans="1:10" ht="15" hidden="1" thickBot="1" x14ac:dyDescent="0.35">
      <c r="A2181" s="230"/>
      <c r="B2181" s="225"/>
      <c r="C2181" s="36"/>
      <c r="D2181" s="36"/>
      <c r="E2181" s="37"/>
      <c r="F2181" s="31" t="s">
        <v>560</v>
      </c>
      <c r="G2181" s="31" t="str">
        <f t="shared" si="34"/>
        <v/>
      </c>
      <c r="H2181" s="35"/>
      <c r="I2181" s="31"/>
      <c r="J2181" s="155">
        <v>0</v>
      </c>
    </row>
    <row r="2182" spans="1:10" ht="15" hidden="1" thickBot="1" x14ac:dyDescent="0.35">
      <c r="A2182" s="226" t="s">
        <v>720</v>
      </c>
      <c r="B2182" s="223" t="e">
        <f>INDEX(#REF!,MATCH(Composições!A2182,#REF!,0),2)</f>
        <v>#REF!</v>
      </c>
      <c r="C2182" s="41"/>
      <c r="D2182" s="26" t="e">
        <f>TRIM(INDEX(#REF!,MATCH(Composições!A2182,#REF!,0),1))</f>
        <v>#REF!</v>
      </c>
      <c r="E2182" s="27"/>
      <c r="F2182" s="42" t="s">
        <v>560</v>
      </c>
      <c r="G2182" s="28" t="str">
        <f t="shared" si="34"/>
        <v/>
      </c>
      <c r="H2182" s="29"/>
      <c r="I2182" s="30"/>
      <c r="J2182" s="155">
        <v>0</v>
      </c>
    </row>
    <row r="2183" spans="1:10" ht="15" hidden="1" thickBot="1" x14ac:dyDescent="0.35">
      <c r="A2183" s="229"/>
      <c r="B2183" s="224"/>
      <c r="C2183" s="32"/>
      <c r="D2183" s="32"/>
      <c r="E2183" s="33"/>
      <c r="F2183" s="43" t="s">
        <v>560</v>
      </c>
      <c r="G2183" s="31" t="str">
        <f t="shared" si="34"/>
        <v/>
      </c>
      <c r="H2183" s="35"/>
      <c r="I2183" s="31"/>
      <c r="J2183" s="155">
        <v>0</v>
      </c>
    </row>
    <row r="2184" spans="1:10" ht="27" hidden="1" thickBot="1" x14ac:dyDescent="0.35">
      <c r="A2184" s="229"/>
      <c r="B2184" s="224"/>
      <c r="C2184" s="36" t="s">
        <v>721</v>
      </c>
      <c r="D2184" s="47" t="s">
        <v>93</v>
      </c>
      <c r="E2184" s="37">
        <v>1.0210999999999999</v>
      </c>
      <c r="F2184" s="34">
        <v>0</v>
      </c>
      <c r="G2184" s="34">
        <f t="shared" si="34"/>
        <v>0</v>
      </c>
      <c r="H2184" s="39">
        <f>SUM(G2184:G2186)</f>
        <v>1.5856512</v>
      </c>
      <c r="I2184" s="40"/>
      <c r="J2184" s="155">
        <v>0</v>
      </c>
    </row>
    <row r="2185" spans="1:10" ht="15" hidden="1" thickBot="1" x14ac:dyDescent="0.35">
      <c r="A2185" s="229"/>
      <c r="B2185" s="224"/>
      <c r="C2185" s="36" t="s">
        <v>108</v>
      </c>
      <c r="D2185" s="47" t="s">
        <v>12</v>
      </c>
      <c r="E2185" s="37">
        <f>0.064*0.7</f>
        <v>4.48E-2</v>
      </c>
      <c r="F2185" s="31">
        <v>15.4955</v>
      </c>
      <c r="G2185" s="34">
        <f t="shared" si="34"/>
        <v>0.69419839999999999</v>
      </c>
      <c r="H2185" s="35"/>
      <c r="I2185" s="31"/>
      <c r="J2185" s="155">
        <v>0</v>
      </c>
    </row>
    <row r="2186" spans="1:10" ht="15" hidden="1" thickBot="1" x14ac:dyDescent="0.35">
      <c r="A2186" s="229"/>
      <c r="B2186" s="224"/>
      <c r="C2186" s="36" t="s">
        <v>39</v>
      </c>
      <c r="D2186" s="47" t="s">
        <v>12</v>
      </c>
      <c r="E2186" s="37">
        <f>0.064*0.7</f>
        <v>4.48E-2</v>
      </c>
      <c r="F2186" s="31">
        <v>19.898499999999999</v>
      </c>
      <c r="G2186" s="34">
        <f t="shared" si="34"/>
        <v>0.89145279999999993</v>
      </c>
      <c r="H2186" s="35"/>
      <c r="I2186" s="31"/>
      <c r="J2186" s="155">
        <v>0</v>
      </c>
    </row>
    <row r="2187" spans="1:10" ht="15" hidden="1" thickBot="1" x14ac:dyDescent="0.35">
      <c r="A2187" s="229"/>
      <c r="B2187" s="224"/>
      <c r="C2187" s="36"/>
      <c r="D2187" s="47"/>
      <c r="E2187" s="37"/>
      <c r="F2187" s="34" t="s">
        <v>560</v>
      </c>
      <c r="G2187" s="34" t="str">
        <f t="shared" si="34"/>
        <v/>
      </c>
      <c r="H2187" s="35"/>
      <c r="I2187" s="31"/>
      <c r="J2187" s="155">
        <v>0</v>
      </c>
    </row>
    <row r="2188" spans="1:10" ht="40.200000000000003" hidden="1" thickBot="1" x14ac:dyDescent="0.35">
      <c r="A2188" s="229"/>
      <c r="B2188" s="224"/>
      <c r="C2188" s="52" t="s">
        <v>681</v>
      </c>
      <c r="D2188" s="47"/>
      <c r="E2188" s="37"/>
      <c r="F2188" s="34" t="s">
        <v>560</v>
      </c>
      <c r="G2188" s="34" t="str">
        <f t="shared" si="34"/>
        <v/>
      </c>
      <c r="H2188" s="35"/>
      <c r="I2188" s="31"/>
      <c r="J2188" s="155">
        <v>0</v>
      </c>
    </row>
    <row r="2189" spans="1:10" ht="15" hidden="1" thickBot="1" x14ac:dyDescent="0.35">
      <c r="A2189" s="230"/>
      <c r="B2189" s="225"/>
      <c r="C2189" s="36"/>
      <c r="D2189" s="36"/>
      <c r="E2189" s="37"/>
      <c r="F2189" s="31" t="s">
        <v>560</v>
      </c>
      <c r="G2189" s="31" t="str">
        <f t="shared" si="34"/>
        <v/>
      </c>
      <c r="H2189" s="35"/>
      <c r="I2189" s="31"/>
      <c r="J2189" s="155">
        <v>0</v>
      </c>
    </row>
    <row r="2190" spans="1:10" ht="15" hidden="1" thickBot="1" x14ac:dyDescent="0.35">
      <c r="A2190" s="226" t="s">
        <v>722</v>
      </c>
      <c r="B2190" s="223" t="e">
        <f>INDEX(#REF!,MATCH(Composições!A2190,#REF!,0),2)</f>
        <v>#REF!</v>
      </c>
      <c r="C2190" s="41"/>
      <c r="D2190" s="26" t="e">
        <f>TRIM(INDEX(#REF!,MATCH(Composições!A2190,#REF!,0),1))</f>
        <v>#REF!</v>
      </c>
      <c r="E2190" s="27"/>
      <c r="F2190" s="42" t="s">
        <v>560</v>
      </c>
      <c r="G2190" s="28" t="str">
        <f t="shared" si="34"/>
        <v/>
      </c>
      <c r="H2190" s="29"/>
      <c r="I2190" s="30"/>
      <c r="J2190" s="155">
        <v>0</v>
      </c>
    </row>
    <row r="2191" spans="1:10" ht="15" hidden="1" thickBot="1" x14ac:dyDescent="0.35">
      <c r="A2191" s="229"/>
      <c r="B2191" s="224"/>
      <c r="C2191" s="32"/>
      <c r="D2191" s="32"/>
      <c r="E2191" s="33"/>
      <c r="F2191" s="43" t="s">
        <v>560</v>
      </c>
      <c r="G2191" s="31" t="str">
        <f t="shared" si="34"/>
        <v/>
      </c>
      <c r="H2191" s="35"/>
      <c r="I2191" s="31"/>
      <c r="J2191" s="155">
        <v>0</v>
      </c>
    </row>
    <row r="2192" spans="1:10" ht="27" hidden="1" thickBot="1" x14ac:dyDescent="0.35">
      <c r="A2192" s="229"/>
      <c r="B2192" s="224"/>
      <c r="C2192" s="36" t="s">
        <v>723</v>
      </c>
      <c r="D2192" s="47" t="s">
        <v>93</v>
      </c>
      <c r="E2192" s="37">
        <v>1.0210999999999999</v>
      </c>
      <c r="F2192" s="34">
        <v>0</v>
      </c>
      <c r="G2192" s="34">
        <f t="shared" si="34"/>
        <v>0</v>
      </c>
      <c r="H2192" s="39">
        <f>SUM(G2192:G2194)</f>
        <v>1.5856512</v>
      </c>
      <c r="I2192" s="40"/>
      <c r="J2192" s="155">
        <v>0</v>
      </c>
    </row>
    <row r="2193" spans="1:10" ht="15" hidden="1" thickBot="1" x14ac:dyDescent="0.35">
      <c r="A2193" s="229"/>
      <c r="B2193" s="224"/>
      <c r="C2193" s="36" t="s">
        <v>108</v>
      </c>
      <c r="D2193" s="47" t="s">
        <v>12</v>
      </c>
      <c r="E2193" s="37">
        <f>0.064*0.7</f>
        <v>4.48E-2</v>
      </c>
      <c r="F2193" s="31">
        <v>15.4955</v>
      </c>
      <c r="G2193" s="34">
        <f t="shared" si="34"/>
        <v>0.69419839999999999</v>
      </c>
      <c r="H2193" s="35"/>
      <c r="I2193" s="31"/>
      <c r="J2193" s="155">
        <v>0</v>
      </c>
    </row>
    <row r="2194" spans="1:10" ht="15" hidden="1" thickBot="1" x14ac:dyDescent="0.35">
      <c r="A2194" s="229"/>
      <c r="B2194" s="224"/>
      <c r="C2194" s="36" t="s">
        <v>39</v>
      </c>
      <c r="D2194" s="47" t="s">
        <v>12</v>
      </c>
      <c r="E2194" s="37">
        <f>0.064*0.7</f>
        <v>4.48E-2</v>
      </c>
      <c r="F2194" s="31">
        <v>19.898499999999999</v>
      </c>
      <c r="G2194" s="34">
        <f t="shared" ref="G2194:G2257" si="35">IF(ISNUMBER(F2194),E2194*F2194,"")</f>
        <v>0.89145279999999993</v>
      </c>
      <c r="H2194" s="35"/>
      <c r="I2194" s="31"/>
      <c r="J2194" s="155">
        <v>0</v>
      </c>
    </row>
    <row r="2195" spans="1:10" ht="15" hidden="1" thickBot="1" x14ac:dyDescent="0.35">
      <c r="A2195" s="229"/>
      <c r="B2195" s="224"/>
      <c r="C2195" s="36"/>
      <c r="D2195" s="47"/>
      <c r="E2195" s="37"/>
      <c r="F2195" s="34" t="s">
        <v>560</v>
      </c>
      <c r="G2195" s="34" t="str">
        <f t="shared" si="35"/>
        <v/>
      </c>
      <c r="H2195" s="35"/>
      <c r="I2195" s="31"/>
      <c r="J2195" s="155">
        <v>0</v>
      </c>
    </row>
    <row r="2196" spans="1:10" ht="40.200000000000003" hidden="1" thickBot="1" x14ac:dyDescent="0.35">
      <c r="A2196" s="229"/>
      <c r="B2196" s="224"/>
      <c r="C2196" s="52" t="s">
        <v>681</v>
      </c>
      <c r="D2196" s="47"/>
      <c r="E2196" s="37"/>
      <c r="F2196" s="34" t="s">
        <v>560</v>
      </c>
      <c r="G2196" s="34" t="str">
        <f t="shared" si="35"/>
        <v/>
      </c>
      <c r="H2196" s="35"/>
      <c r="I2196" s="31"/>
      <c r="J2196" s="155">
        <v>0</v>
      </c>
    </row>
    <row r="2197" spans="1:10" ht="15" hidden="1" thickBot="1" x14ac:dyDescent="0.35">
      <c r="A2197" s="230"/>
      <c r="B2197" s="225"/>
      <c r="C2197" s="36"/>
      <c r="D2197" s="36"/>
      <c r="E2197" s="37"/>
      <c r="F2197" s="31" t="s">
        <v>560</v>
      </c>
      <c r="G2197" s="31" t="str">
        <f t="shared" si="35"/>
        <v/>
      </c>
      <c r="H2197" s="35"/>
      <c r="I2197" s="31"/>
      <c r="J2197" s="155">
        <v>0</v>
      </c>
    </row>
    <row r="2198" spans="1:10" ht="15" hidden="1" thickBot="1" x14ac:dyDescent="0.35">
      <c r="A2198" s="226" t="s">
        <v>724</v>
      </c>
      <c r="B2198" s="223" t="e">
        <f>INDEX(#REF!,MATCH(Composições!A2198,#REF!,0),2)</f>
        <v>#REF!</v>
      </c>
      <c r="C2198" s="41"/>
      <c r="D2198" s="26" t="e">
        <f>TRIM(INDEX(#REF!,MATCH(Composições!A2198,#REF!,0),1))</f>
        <v>#REF!</v>
      </c>
      <c r="E2198" s="27"/>
      <c r="F2198" s="42" t="s">
        <v>560</v>
      </c>
      <c r="G2198" s="28" t="str">
        <f t="shared" si="35"/>
        <v/>
      </c>
      <c r="H2198" s="29"/>
      <c r="I2198" s="30"/>
      <c r="J2198" s="155">
        <v>0</v>
      </c>
    </row>
    <row r="2199" spans="1:10" ht="15" hidden="1" thickBot="1" x14ac:dyDescent="0.35">
      <c r="A2199" s="229"/>
      <c r="B2199" s="224"/>
      <c r="C2199" s="32"/>
      <c r="D2199" s="32"/>
      <c r="E2199" s="33"/>
      <c r="F2199" s="43" t="s">
        <v>560</v>
      </c>
      <c r="G2199" s="31" t="str">
        <f t="shared" si="35"/>
        <v/>
      </c>
      <c r="H2199" s="35"/>
      <c r="I2199" s="31"/>
      <c r="J2199" s="155">
        <v>0</v>
      </c>
    </row>
    <row r="2200" spans="1:10" ht="27" hidden="1" thickBot="1" x14ac:dyDescent="0.35">
      <c r="A2200" s="229"/>
      <c r="B2200" s="224"/>
      <c r="C2200" s="36" t="s">
        <v>725</v>
      </c>
      <c r="D2200" s="47" t="s">
        <v>93</v>
      </c>
      <c r="E2200" s="37">
        <v>1.0210999999999999</v>
      </c>
      <c r="F2200" s="34">
        <v>0</v>
      </c>
      <c r="G2200" s="34">
        <f t="shared" si="35"/>
        <v>0</v>
      </c>
      <c r="H2200" s="39">
        <f>SUM(G2200:G2202)</f>
        <v>1.5856512</v>
      </c>
      <c r="I2200" s="40"/>
      <c r="J2200" s="155">
        <v>0</v>
      </c>
    </row>
    <row r="2201" spans="1:10" ht="15" hidden="1" thickBot="1" x14ac:dyDescent="0.35">
      <c r="A2201" s="229"/>
      <c r="B2201" s="224"/>
      <c r="C2201" s="36" t="s">
        <v>108</v>
      </c>
      <c r="D2201" s="47" t="s">
        <v>12</v>
      </c>
      <c r="E2201" s="37">
        <f>0.064*0.7</f>
        <v>4.48E-2</v>
      </c>
      <c r="F2201" s="31">
        <v>15.4955</v>
      </c>
      <c r="G2201" s="34">
        <f t="shared" si="35"/>
        <v>0.69419839999999999</v>
      </c>
      <c r="H2201" s="35"/>
      <c r="I2201" s="31"/>
      <c r="J2201" s="155">
        <v>0</v>
      </c>
    </row>
    <row r="2202" spans="1:10" ht="15" hidden="1" thickBot="1" x14ac:dyDescent="0.35">
      <c r="A2202" s="229"/>
      <c r="B2202" s="224"/>
      <c r="C2202" s="36" t="s">
        <v>39</v>
      </c>
      <c r="D2202" s="47" t="s">
        <v>12</v>
      </c>
      <c r="E2202" s="37">
        <f>0.064*0.7</f>
        <v>4.48E-2</v>
      </c>
      <c r="F2202" s="31">
        <v>19.898499999999999</v>
      </c>
      <c r="G2202" s="34">
        <f t="shared" si="35"/>
        <v>0.89145279999999993</v>
      </c>
      <c r="H2202" s="35"/>
      <c r="I2202" s="31"/>
      <c r="J2202" s="155">
        <v>0</v>
      </c>
    </row>
    <row r="2203" spans="1:10" ht="15" hidden="1" thickBot="1" x14ac:dyDescent="0.35">
      <c r="A2203" s="229"/>
      <c r="B2203" s="224"/>
      <c r="C2203" s="36"/>
      <c r="D2203" s="47"/>
      <c r="E2203" s="37"/>
      <c r="F2203" s="34" t="s">
        <v>560</v>
      </c>
      <c r="G2203" s="34" t="str">
        <f t="shared" si="35"/>
        <v/>
      </c>
      <c r="H2203" s="35"/>
      <c r="I2203" s="31"/>
      <c r="J2203" s="155">
        <v>0</v>
      </c>
    </row>
    <row r="2204" spans="1:10" ht="40.200000000000003" hidden="1" thickBot="1" x14ac:dyDescent="0.35">
      <c r="A2204" s="229"/>
      <c r="B2204" s="224"/>
      <c r="C2204" s="52" t="s">
        <v>681</v>
      </c>
      <c r="D2204" s="47"/>
      <c r="E2204" s="37"/>
      <c r="F2204" s="34" t="s">
        <v>560</v>
      </c>
      <c r="G2204" s="34" t="str">
        <f t="shared" si="35"/>
        <v/>
      </c>
      <c r="H2204" s="35"/>
      <c r="I2204" s="31"/>
      <c r="J2204" s="155">
        <v>0</v>
      </c>
    </row>
    <row r="2205" spans="1:10" ht="15" hidden="1" thickBot="1" x14ac:dyDescent="0.35">
      <c r="A2205" s="230"/>
      <c r="B2205" s="225"/>
      <c r="C2205" s="36"/>
      <c r="D2205" s="36"/>
      <c r="E2205" s="37"/>
      <c r="F2205" s="31" t="s">
        <v>560</v>
      </c>
      <c r="G2205" s="31" t="str">
        <f t="shared" si="35"/>
        <v/>
      </c>
      <c r="H2205" s="35"/>
      <c r="I2205" s="31"/>
      <c r="J2205" s="155">
        <v>0</v>
      </c>
    </row>
    <row r="2206" spans="1:10" ht="15" hidden="1" thickBot="1" x14ac:dyDescent="0.35">
      <c r="A2206" s="226" t="s">
        <v>726</v>
      </c>
      <c r="B2206" s="223" t="e">
        <f>INDEX(#REF!,MATCH(Composições!A2206,#REF!,0),2)</f>
        <v>#REF!</v>
      </c>
      <c r="C2206" s="41"/>
      <c r="D2206" s="26" t="e">
        <f>TRIM(INDEX(#REF!,MATCH(Composições!A2206,#REF!,0),1))</f>
        <v>#REF!</v>
      </c>
      <c r="E2206" s="27"/>
      <c r="F2206" s="42" t="s">
        <v>560</v>
      </c>
      <c r="G2206" s="28" t="str">
        <f t="shared" si="35"/>
        <v/>
      </c>
      <c r="H2206" s="29"/>
      <c r="I2206" s="30"/>
      <c r="J2206" s="155">
        <v>0</v>
      </c>
    </row>
    <row r="2207" spans="1:10" ht="15" hidden="1" thickBot="1" x14ac:dyDescent="0.35">
      <c r="A2207" s="229"/>
      <c r="B2207" s="224"/>
      <c r="C2207" s="32"/>
      <c r="D2207" s="32"/>
      <c r="E2207" s="33"/>
      <c r="F2207" s="43" t="s">
        <v>560</v>
      </c>
      <c r="G2207" s="31" t="str">
        <f t="shared" si="35"/>
        <v/>
      </c>
      <c r="H2207" s="35"/>
      <c r="I2207" s="31"/>
      <c r="J2207" s="155">
        <v>0</v>
      </c>
    </row>
    <row r="2208" spans="1:10" ht="15" hidden="1" thickBot="1" x14ac:dyDescent="0.35">
      <c r="A2208" s="229"/>
      <c r="B2208" s="224"/>
      <c r="C2208" s="36" t="s">
        <v>645</v>
      </c>
      <c r="D2208" s="36" t="s">
        <v>12</v>
      </c>
      <c r="E2208" s="37">
        <v>1.8</v>
      </c>
      <c r="F2208" s="31">
        <v>20.484999999999999</v>
      </c>
      <c r="G2208" s="31">
        <f t="shared" si="35"/>
        <v>36.872999999999998</v>
      </c>
      <c r="H2208" s="39">
        <f>SUM(G2208:G2209)</f>
        <v>90.315899999999999</v>
      </c>
      <c r="I2208" s="40"/>
      <c r="J2208" s="155">
        <v>0</v>
      </c>
    </row>
    <row r="2209" spans="1:10" ht="15" hidden="1" thickBot="1" x14ac:dyDescent="0.35">
      <c r="A2209" s="229"/>
      <c r="B2209" s="224"/>
      <c r="C2209" s="36" t="s">
        <v>130</v>
      </c>
      <c r="D2209" s="36" t="s">
        <v>12</v>
      </c>
      <c r="E2209" s="37">
        <v>3.15</v>
      </c>
      <c r="F2209" s="31">
        <v>16.966000000000001</v>
      </c>
      <c r="G2209" s="31">
        <f t="shared" si="35"/>
        <v>53.442900000000002</v>
      </c>
      <c r="H2209" s="35"/>
      <c r="I2209" s="31"/>
      <c r="J2209" s="155">
        <v>0</v>
      </c>
    </row>
    <row r="2210" spans="1:10" ht="15" hidden="1" thickBot="1" x14ac:dyDescent="0.35">
      <c r="A2210" s="230"/>
      <c r="B2210" s="225"/>
      <c r="C2210" s="36"/>
      <c r="D2210" s="36"/>
      <c r="E2210" s="37"/>
      <c r="F2210" s="31" t="s">
        <v>560</v>
      </c>
      <c r="G2210" s="31" t="str">
        <f t="shared" si="35"/>
        <v/>
      </c>
      <c r="H2210" s="35"/>
      <c r="I2210" s="31"/>
      <c r="J2210" s="155">
        <v>0</v>
      </c>
    </row>
    <row r="2211" spans="1:10" ht="15" hidden="1" thickBot="1" x14ac:dyDescent="0.35">
      <c r="A2211" s="226" t="s">
        <v>727</v>
      </c>
      <c r="B2211" s="223" t="e">
        <f>INDEX(#REF!,MATCH(Composições!A2211,#REF!,0),2)</f>
        <v>#REF!</v>
      </c>
      <c r="C2211" s="41"/>
      <c r="D2211" s="26" t="e">
        <f>TRIM(INDEX(#REF!,MATCH(Composições!A2211,#REF!,0),1))</f>
        <v>#REF!</v>
      </c>
      <c r="E2211" s="27"/>
      <c r="F2211" s="42" t="s">
        <v>560</v>
      </c>
      <c r="G2211" s="28" t="str">
        <f t="shared" si="35"/>
        <v/>
      </c>
      <c r="H2211" s="29"/>
      <c r="I2211" s="30"/>
      <c r="J2211" s="155">
        <v>0</v>
      </c>
    </row>
    <row r="2212" spans="1:10" ht="15" hidden="1" thickBot="1" x14ac:dyDescent="0.35">
      <c r="A2212" s="229"/>
      <c r="B2212" s="224"/>
      <c r="C2212" s="32"/>
      <c r="D2212" s="32"/>
      <c r="E2212" s="33"/>
      <c r="F2212" s="43" t="s">
        <v>560</v>
      </c>
      <c r="G2212" s="31" t="str">
        <f t="shared" si="35"/>
        <v/>
      </c>
      <c r="H2212" s="35"/>
      <c r="I2212" s="31"/>
      <c r="J2212" s="155">
        <v>0</v>
      </c>
    </row>
    <row r="2213" spans="1:10" ht="15" hidden="1" thickBot="1" x14ac:dyDescent="0.35">
      <c r="A2213" s="229"/>
      <c r="B2213" s="224"/>
      <c r="C2213" s="36" t="s">
        <v>645</v>
      </c>
      <c r="D2213" s="36" t="s">
        <v>12</v>
      </c>
      <c r="E2213" s="37">
        <v>1.8</v>
      </c>
      <c r="F2213" s="31">
        <v>20.484999999999999</v>
      </c>
      <c r="G2213" s="31">
        <f t="shared" si="35"/>
        <v>36.872999999999998</v>
      </c>
      <c r="H2213" s="39">
        <f>SUM(G2213:G2216)</f>
        <v>176.22795000000002</v>
      </c>
      <c r="I2213" s="40"/>
      <c r="J2213" s="155">
        <v>0</v>
      </c>
    </row>
    <row r="2214" spans="1:10" ht="15" hidden="1" thickBot="1" x14ac:dyDescent="0.35">
      <c r="A2214" s="229"/>
      <c r="B2214" s="224"/>
      <c r="C2214" s="36" t="s">
        <v>130</v>
      </c>
      <c r="D2214" s="36" t="s">
        <v>12</v>
      </c>
      <c r="E2214" s="37">
        <f>3.15/2</f>
        <v>1.575</v>
      </c>
      <c r="F2214" s="31">
        <v>16.966000000000001</v>
      </c>
      <c r="G2214" s="34">
        <f t="shared" si="35"/>
        <v>26.721450000000001</v>
      </c>
      <c r="H2214" s="44"/>
      <c r="I2214" s="40"/>
      <c r="J2214" s="155">
        <v>0</v>
      </c>
    </row>
    <row r="2215" spans="1:10" ht="27" hidden="1" thickBot="1" x14ac:dyDescent="0.35">
      <c r="A2215" s="229"/>
      <c r="B2215" s="224"/>
      <c r="C2215" s="36" t="s">
        <v>728</v>
      </c>
      <c r="D2215" s="36" t="s">
        <v>20</v>
      </c>
      <c r="E2215" s="37">
        <v>2</v>
      </c>
      <c r="F2215" s="34">
        <v>20.638000000000002</v>
      </c>
      <c r="G2215" s="31">
        <f t="shared" si="35"/>
        <v>41.276000000000003</v>
      </c>
      <c r="H2215" s="44"/>
      <c r="I2215" s="40"/>
      <c r="J2215" s="155">
        <v>0</v>
      </c>
    </row>
    <row r="2216" spans="1:10" ht="15" hidden="1" thickBot="1" x14ac:dyDescent="0.35">
      <c r="A2216" s="229"/>
      <c r="B2216" s="224"/>
      <c r="C2216" s="36" t="s">
        <v>729</v>
      </c>
      <c r="D2216" s="36" t="s">
        <v>95</v>
      </c>
      <c r="E2216" s="37">
        <v>1</v>
      </c>
      <c r="F2216" s="34">
        <v>71.357500000000002</v>
      </c>
      <c r="G2216" s="31">
        <f t="shared" si="35"/>
        <v>71.357500000000002</v>
      </c>
      <c r="H2216" s="35"/>
      <c r="I2216" s="31"/>
      <c r="J2216" s="155">
        <v>0</v>
      </c>
    </row>
    <row r="2217" spans="1:10" ht="15" hidden="1" thickBot="1" x14ac:dyDescent="0.35">
      <c r="A2217" s="230"/>
      <c r="B2217" s="225"/>
      <c r="C2217" s="36"/>
      <c r="D2217" s="36"/>
      <c r="E2217" s="37"/>
      <c r="F2217" s="31" t="s">
        <v>560</v>
      </c>
      <c r="G2217" s="31" t="str">
        <f t="shared" si="35"/>
        <v/>
      </c>
      <c r="H2217" s="35"/>
      <c r="I2217" s="31"/>
      <c r="J2217" s="155">
        <v>0</v>
      </c>
    </row>
    <row r="2218" spans="1:10" ht="15" hidden="1" thickBot="1" x14ac:dyDescent="0.35">
      <c r="A2218" s="226" t="s">
        <v>730</v>
      </c>
      <c r="B2218" s="223" t="e">
        <f>INDEX(#REF!,MATCH(Composições!A2218,#REF!,0),2)</f>
        <v>#REF!</v>
      </c>
      <c r="C2218" s="41"/>
      <c r="D2218" s="26" t="e">
        <f>TRIM(INDEX(#REF!,MATCH(Composições!A2218,#REF!,0),1))</f>
        <v>#REF!</v>
      </c>
      <c r="E2218" s="27"/>
      <c r="F2218" s="42" t="s">
        <v>560</v>
      </c>
      <c r="G2218" s="28" t="str">
        <f t="shared" si="35"/>
        <v/>
      </c>
      <c r="H2218" s="29"/>
      <c r="I2218" s="30"/>
      <c r="J2218" s="155">
        <v>0</v>
      </c>
    </row>
    <row r="2219" spans="1:10" ht="15" hidden="1" thickBot="1" x14ac:dyDescent="0.35">
      <c r="A2219" s="229"/>
      <c r="B2219" s="224"/>
      <c r="C2219" s="32"/>
      <c r="D2219" s="32"/>
      <c r="E2219" s="33"/>
      <c r="F2219" s="43" t="s">
        <v>560</v>
      </c>
      <c r="G2219" s="31" t="str">
        <f t="shared" si="35"/>
        <v/>
      </c>
      <c r="H2219" s="35"/>
      <c r="I2219" s="31"/>
      <c r="J2219" s="155">
        <v>0</v>
      </c>
    </row>
    <row r="2220" spans="1:10" ht="15" hidden="1" thickBot="1" x14ac:dyDescent="0.35">
      <c r="A2220" s="229"/>
      <c r="B2220" s="224"/>
      <c r="C2220" s="36" t="s">
        <v>645</v>
      </c>
      <c r="D2220" s="36" t="s">
        <v>12</v>
      </c>
      <c r="E2220" s="37">
        <v>1</v>
      </c>
      <c r="F2220" s="31">
        <v>20.484999999999999</v>
      </c>
      <c r="G2220" s="34">
        <f t="shared" si="35"/>
        <v>20.484999999999999</v>
      </c>
      <c r="H2220" s="39">
        <f>SUM(G2220:G2222)</f>
        <v>37.451000000000001</v>
      </c>
      <c r="I2220" s="40"/>
      <c r="J2220" s="155">
        <v>0</v>
      </c>
    </row>
    <row r="2221" spans="1:10" ht="15" hidden="1" thickBot="1" x14ac:dyDescent="0.35">
      <c r="A2221" s="229"/>
      <c r="B2221" s="224"/>
      <c r="C2221" s="36" t="s">
        <v>130</v>
      </c>
      <c r="D2221" s="36" t="s">
        <v>12</v>
      </c>
      <c r="E2221" s="37">
        <v>1</v>
      </c>
      <c r="F2221" s="31">
        <v>16.966000000000001</v>
      </c>
      <c r="G2221" s="34">
        <f t="shared" si="35"/>
        <v>16.966000000000001</v>
      </c>
      <c r="H2221" s="44"/>
      <c r="I2221" s="40"/>
      <c r="J2221" s="155">
        <v>0</v>
      </c>
    </row>
    <row r="2222" spans="1:10" ht="15" hidden="1" thickBot="1" x14ac:dyDescent="0.35">
      <c r="A2222" s="229"/>
      <c r="B2222" s="224"/>
      <c r="C2222" s="172" t="s">
        <v>731</v>
      </c>
      <c r="D2222" s="36" t="s">
        <v>20</v>
      </c>
      <c r="E2222" s="37">
        <v>1</v>
      </c>
      <c r="F2222" s="34" t="s">
        <v>560</v>
      </c>
      <c r="G2222" s="31" t="str">
        <f t="shared" si="35"/>
        <v/>
      </c>
      <c r="H2222" s="35"/>
      <c r="I2222" s="31"/>
      <c r="J2222" s="155">
        <v>0</v>
      </c>
    </row>
    <row r="2223" spans="1:10" ht="15" hidden="1" thickBot="1" x14ac:dyDescent="0.35">
      <c r="A2223" s="230"/>
      <c r="B2223" s="225"/>
      <c r="C2223" s="36"/>
      <c r="D2223" s="36"/>
      <c r="E2223" s="37"/>
      <c r="F2223" s="31" t="s">
        <v>560</v>
      </c>
      <c r="G2223" s="31" t="str">
        <f t="shared" si="35"/>
        <v/>
      </c>
      <c r="H2223" s="35"/>
      <c r="I2223" s="31"/>
      <c r="J2223" s="155">
        <v>0</v>
      </c>
    </row>
    <row r="2224" spans="1:10" ht="15" hidden="1" thickBot="1" x14ac:dyDescent="0.35">
      <c r="A2224" s="226" t="s">
        <v>732</v>
      </c>
      <c r="B2224" s="223" t="e">
        <f>INDEX(#REF!,MATCH(Composições!A2224,#REF!,0),2)</f>
        <v>#REF!</v>
      </c>
      <c r="C2224" s="41"/>
      <c r="D2224" s="26" t="e">
        <f>TRIM(INDEX(#REF!,MATCH(Composições!A2224,#REF!,0),1))</f>
        <v>#REF!</v>
      </c>
      <c r="E2224" s="27"/>
      <c r="F2224" s="42" t="s">
        <v>560</v>
      </c>
      <c r="G2224" s="28" t="str">
        <f t="shared" si="35"/>
        <v/>
      </c>
      <c r="H2224" s="29"/>
      <c r="I2224" s="30"/>
      <c r="J2224" s="155">
        <v>0</v>
      </c>
    </row>
    <row r="2225" spans="1:10" ht="15" hidden="1" thickBot="1" x14ac:dyDescent="0.35">
      <c r="A2225" s="229"/>
      <c r="B2225" s="224"/>
      <c r="C2225" s="32"/>
      <c r="D2225" s="32"/>
      <c r="E2225" s="33"/>
      <c r="F2225" s="43" t="s">
        <v>560</v>
      </c>
      <c r="G2225" s="31" t="str">
        <f t="shared" si="35"/>
        <v/>
      </c>
      <c r="H2225" s="35"/>
      <c r="I2225" s="31"/>
      <c r="J2225" s="155">
        <v>0</v>
      </c>
    </row>
    <row r="2226" spans="1:10" ht="15" hidden="1" thickBot="1" x14ac:dyDescent="0.35">
      <c r="A2226" s="229"/>
      <c r="B2226" s="224"/>
      <c r="C2226" s="36" t="s">
        <v>645</v>
      </c>
      <c r="D2226" s="36" t="s">
        <v>12</v>
      </c>
      <c r="E2226" s="37">
        <v>1</v>
      </c>
      <c r="F2226" s="31">
        <v>20.484999999999999</v>
      </c>
      <c r="G2226" s="34">
        <f t="shared" si="35"/>
        <v>20.484999999999999</v>
      </c>
      <c r="H2226" s="39">
        <f>SUM(G2226:G2228)</f>
        <v>37.451000000000001</v>
      </c>
      <c r="I2226" s="40"/>
      <c r="J2226" s="155">
        <v>0</v>
      </c>
    </row>
    <row r="2227" spans="1:10" ht="15" hidden="1" thickBot="1" x14ac:dyDescent="0.35">
      <c r="A2227" s="229"/>
      <c r="B2227" s="224"/>
      <c r="C2227" s="36" t="s">
        <v>130</v>
      </c>
      <c r="D2227" s="36" t="s">
        <v>12</v>
      </c>
      <c r="E2227" s="37">
        <v>1</v>
      </c>
      <c r="F2227" s="31">
        <v>16.966000000000001</v>
      </c>
      <c r="G2227" s="34">
        <f t="shared" si="35"/>
        <v>16.966000000000001</v>
      </c>
      <c r="H2227" s="35"/>
      <c r="I2227" s="31"/>
      <c r="J2227" s="155">
        <v>0</v>
      </c>
    </row>
    <row r="2228" spans="1:10" ht="27" hidden="1" thickBot="1" x14ac:dyDescent="0.35">
      <c r="A2228" s="229"/>
      <c r="B2228" s="224"/>
      <c r="C2228" s="172" t="s">
        <v>733</v>
      </c>
      <c r="D2228" s="36" t="s">
        <v>20</v>
      </c>
      <c r="E2228" s="37">
        <v>1</v>
      </c>
      <c r="F2228" s="34" t="s">
        <v>560</v>
      </c>
      <c r="G2228" s="31" t="str">
        <f t="shared" si="35"/>
        <v/>
      </c>
      <c r="H2228" s="35"/>
      <c r="I2228" s="31"/>
      <c r="J2228" s="155">
        <v>0</v>
      </c>
    </row>
    <row r="2229" spans="1:10" ht="15" hidden="1" thickBot="1" x14ac:dyDescent="0.35">
      <c r="A2229" s="230"/>
      <c r="B2229" s="225"/>
      <c r="C2229" s="36"/>
      <c r="D2229" s="36"/>
      <c r="E2229" s="37"/>
      <c r="F2229" s="31" t="s">
        <v>560</v>
      </c>
      <c r="G2229" s="31" t="str">
        <f t="shared" si="35"/>
        <v/>
      </c>
      <c r="H2229" s="35"/>
      <c r="I2229" s="31"/>
      <c r="J2229" s="155">
        <v>0</v>
      </c>
    </row>
    <row r="2230" spans="1:10" ht="15" hidden="1" thickBot="1" x14ac:dyDescent="0.35">
      <c r="A2230" s="226" t="s">
        <v>734</v>
      </c>
      <c r="B2230" s="223" t="e">
        <f>INDEX(#REF!,MATCH(Composições!A2230,#REF!,0),2)</f>
        <v>#REF!</v>
      </c>
      <c r="C2230" s="41"/>
      <c r="D2230" s="26" t="e">
        <f>TRIM(INDEX(#REF!,MATCH(Composições!A2230,#REF!,0),1))</f>
        <v>#REF!</v>
      </c>
      <c r="E2230" s="27"/>
      <c r="F2230" s="42" t="s">
        <v>560</v>
      </c>
      <c r="G2230" s="28" t="str">
        <f t="shared" si="35"/>
        <v/>
      </c>
      <c r="H2230" s="29"/>
      <c r="I2230" s="30"/>
      <c r="J2230" s="155">
        <v>0</v>
      </c>
    </row>
    <row r="2231" spans="1:10" ht="15" hidden="1" thickBot="1" x14ac:dyDescent="0.35">
      <c r="A2231" s="229"/>
      <c r="B2231" s="224"/>
      <c r="C2231" s="32"/>
      <c r="D2231" s="32"/>
      <c r="E2231" s="33"/>
      <c r="F2231" s="43" t="s">
        <v>560</v>
      </c>
      <c r="G2231" s="31" t="str">
        <f t="shared" si="35"/>
        <v/>
      </c>
      <c r="H2231" s="35"/>
      <c r="I2231" s="31"/>
      <c r="J2231" s="155">
        <v>0</v>
      </c>
    </row>
    <row r="2232" spans="1:10" ht="15" hidden="1" thickBot="1" x14ac:dyDescent="0.35">
      <c r="A2232" s="229"/>
      <c r="B2232" s="224"/>
      <c r="C2232" s="36" t="s">
        <v>645</v>
      </c>
      <c r="D2232" s="36" t="s">
        <v>12</v>
      </c>
      <c r="E2232" s="37">
        <v>1</v>
      </c>
      <c r="F2232" s="31">
        <v>20.484999999999999</v>
      </c>
      <c r="G2232" s="34">
        <f t="shared" si="35"/>
        <v>20.484999999999999</v>
      </c>
      <c r="H2232" s="39">
        <f>SUM(G2232:G2234)</f>
        <v>37.451000000000001</v>
      </c>
      <c r="I2232" s="40"/>
      <c r="J2232" s="155">
        <v>0</v>
      </c>
    </row>
    <row r="2233" spans="1:10" ht="15" hidden="1" thickBot="1" x14ac:dyDescent="0.35">
      <c r="A2233" s="229"/>
      <c r="B2233" s="224"/>
      <c r="C2233" s="36" t="s">
        <v>130</v>
      </c>
      <c r="D2233" s="36" t="s">
        <v>12</v>
      </c>
      <c r="E2233" s="37">
        <v>1</v>
      </c>
      <c r="F2233" s="31">
        <v>16.966000000000001</v>
      </c>
      <c r="G2233" s="34">
        <f t="shared" si="35"/>
        <v>16.966000000000001</v>
      </c>
      <c r="H2233" s="35"/>
      <c r="I2233" s="31"/>
      <c r="J2233" s="155">
        <v>0</v>
      </c>
    </row>
    <row r="2234" spans="1:10" ht="27" hidden="1" thickBot="1" x14ac:dyDescent="0.35">
      <c r="A2234" s="229"/>
      <c r="B2234" s="224"/>
      <c r="C2234" s="36" t="s">
        <v>735</v>
      </c>
      <c r="D2234" s="36" t="s">
        <v>20</v>
      </c>
      <c r="E2234" s="37">
        <v>1</v>
      </c>
      <c r="F2234" s="34" t="s">
        <v>560</v>
      </c>
      <c r="G2234" s="31" t="str">
        <f t="shared" si="35"/>
        <v/>
      </c>
      <c r="H2234" s="35"/>
      <c r="I2234" s="31"/>
      <c r="J2234" s="155">
        <v>0</v>
      </c>
    </row>
    <row r="2235" spans="1:10" ht="15" hidden="1" thickBot="1" x14ac:dyDescent="0.35">
      <c r="A2235" s="230"/>
      <c r="B2235" s="225"/>
      <c r="C2235" s="36"/>
      <c r="D2235" s="36"/>
      <c r="E2235" s="37"/>
      <c r="F2235" s="31" t="s">
        <v>560</v>
      </c>
      <c r="G2235" s="31" t="str">
        <f t="shared" si="35"/>
        <v/>
      </c>
      <c r="H2235" s="35"/>
      <c r="I2235" s="31"/>
      <c r="J2235" s="155">
        <v>0</v>
      </c>
    </row>
    <row r="2236" spans="1:10" ht="15" hidden="1" thickBot="1" x14ac:dyDescent="0.35">
      <c r="A2236" s="226" t="s">
        <v>736</v>
      </c>
      <c r="B2236" s="223" t="e">
        <f>INDEX(#REF!,MATCH(Composições!A2236,#REF!,0),2)</f>
        <v>#REF!</v>
      </c>
      <c r="C2236" s="41"/>
      <c r="D2236" s="26" t="e">
        <f>TRIM(INDEX(#REF!,MATCH(Composições!A2236,#REF!,0),1))</f>
        <v>#REF!</v>
      </c>
      <c r="E2236" s="27"/>
      <c r="F2236" s="42" t="s">
        <v>560</v>
      </c>
      <c r="G2236" s="28" t="str">
        <f t="shared" si="35"/>
        <v/>
      </c>
      <c r="H2236" s="29"/>
      <c r="I2236" s="30"/>
      <c r="J2236" s="155">
        <v>0</v>
      </c>
    </row>
    <row r="2237" spans="1:10" ht="15" hidden="1" thickBot="1" x14ac:dyDescent="0.35">
      <c r="A2237" s="229"/>
      <c r="B2237" s="224"/>
      <c r="C2237" s="32"/>
      <c r="D2237" s="32"/>
      <c r="E2237" s="33"/>
      <c r="F2237" s="43" t="s">
        <v>560</v>
      </c>
      <c r="G2237" s="31" t="str">
        <f t="shared" si="35"/>
        <v/>
      </c>
      <c r="H2237" s="35"/>
      <c r="I2237" s="31"/>
      <c r="J2237" s="155">
        <v>0</v>
      </c>
    </row>
    <row r="2238" spans="1:10" ht="40.200000000000003" hidden="1" thickBot="1" x14ac:dyDescent="0.35">
      <c r="A2238" s="229"/>
      <c r="B2238" s="224"/>
      <c r="C2238" s="36" t="s">
        <v>1709</v>
      </c>
      <c r="D2238" s="47" t="s">
        <v>1517</v>
      </c>
      <c r="E2238" s="37">
        <v>1</v>
      </c>
      <c r="F2238" s="34">
        <v>121.08249999999998</v>
      </c>
      <c r="G2238" s="34">
        <f t="shared" si="35"/>
        <v>121.08249999999998</v>
      </c>
      <c r="H2238" s="39">
        <f>SUM(G2238:G2246)</f>
        <v>252.13565554999997</v>
      </c>
      <c r="I2238" s="40"/>
      <c r="J2238" s="155">
        <v>0</v>
      </c>
    </row>
    <row r="2239" spans="1:10" ht="15" hidden="1" thickBot="1" x14ac:dyDescent="0.35">
      <c r="A2239" s="229"/>
      <c r="B2239" s="224"/>
      <c r="C2239" s="36" t="s">
        <v>1518</v>
      </c>
      <c r="D2239" s="50" t="s">
        <v>939</v>
      </c>
      <c r="E2239" s="37">
        <v>1.0999999999999999E-2</v>
      </c>
      <c r="F2239" s="34">
        <v>22.669499999999999</v>
      </c>
      <c r="G2239" s="34">
        <f t="shared" si="35"/>
        <v>0.24936449999999999</v>
      </c>
      <c r="H2239" s="35"/>
      <c r="I2239" s="31"/>
      <c r="J2239" s="155">
        <v>0</v>
      </c>
    </row>
    <row r="2240" spans="1:10" ht="15" hidden="1" thickBot="1" x14ac:dyDescent="0.35">
      <c r="A2240" s="229"/>
      <c r="B2240" s="224"/>
      <c r="C2240" s="36" t="s">
        <v>99</v>
      </c>
      <c r="D2240" s="47" t="s">
        <v>939</v>
      </c>
      <c r="E2240" s="37">
        <v>2.4E-2</v>
      </c>
      <c r="F2240" s="31">
        <v>17.203999999999997</v>
      </c>
      <c r="G2240" s="34">
        <f t="shared" si="35"/>
        <v>0.41289599999999993</v>
      </c>
      <c r="H2240" s="35"/>
      <c r="I2240" s="31"/>
      <c r="J2240" s="155">
        <v>0</v>
      </c>
    </row>
    <row r="2241" spans="1:10" ht="15" hidden="1" thickBot="1" x14ac:dyDescent="0.35">
      <c r="A2241" s="229"/>
      <c r="B2241" s="224"/>
      <c r="C2241" s="36" t="s">
        <v>743</v>
      </c>
      <c r="D2241" s="47" t="s">
        <v>744</v>
      </c>
      <c r="E2241" s="37">
        <f>2.741+0.068</f>
        <v>2.8090000000000002</v>
      </c>
      <c r="F2241" s="31">
        <v>20.161999999999999</v>
      </c>
      <c r="G2241" s="34">
        <f t="shared" si="35"/>
        <v>56.635058000000001</v>
      </c>
      <c r="H2241" s="35"/>
      <c r="I2241" s="31"/>
      <c r="J2241" s="155">
        <v>0</v>
      </c>
    </row>
    <row r="2242" spans="1:10" ht="15" hidden="1" thickBot="1" x14ac:dyDescent="0.35">
      <c r="A2242" s="229"/>
      <c r="B2242" s="224"/>
      <c r="C2242" s="36" t="s">
        <v>745</v>
      </c>
      <c r="D2242" s="47" t="s">
        <v>744</v>
      </c>
      <c r="E2242" s="37">
        <f>1.375+0.034</f>
        <v>1.409</v>
      </c>
      <c r="F2242" s="31">
        <v>14.968499999999999</v>
      </c>
      <c r="G2242" s="34">
        <f t="shared" si="35"/>
        <v>21.090616499999999</v>
      </c>
      <c r="H2242" s="35"/>
      <c r="I2242" s="31"/>
      <c r="J2242" s="155">
        <v>0</v>
      </c>
    </row>
    <row r="2243" spans="1:10" ht="15" hidden="1" thickBot="1" x14ac:dyDescent="0.35">
      <c r="A2243" s="229"/>
      <c r="B2243" s="224"/>
      <c r="C2243" s="36" t="s">
        <v>1823</v>
      </c>
      <c r="D2243" s="47" t="s">
        <v>939</v>
      </c>
      <c r="E2243" s="37">
        <v>6.0000000000000001E-3</v>
      </c>
      <c r="F2243" s="31">
        <v>19.346</v>
      </c>
      <c r="G2243" s="34">
        <f t="shared" si="35"/>
        <v>0.116076</v>
      </c>
      <c r="H2243" s="35"/>
      <c r="I2243" s="31"/>
      <c r="J2243" s="155">
        <v>0</v>
      </c>
    </row>
    <row r="2244" spans="1:10" ht="40.200000000000003" hidden="1" thickBot="1" x14ac:dyDescent="0.35">
      <c r="A2244" s="229"/>
      <c r="B2244" s="224"/>
      <c r="C2244" s="36" t="s">
        <v>1792</v>
      </c>
      <c r="D2244" s="47" t="s">
        <v>515</v>
      </c>
      <c r="E2244" s="37">
        <f>(2.1*2+0.8)*1.163</f>
        <v>5.8150000000000004</v>
      </c>
      <c r="F2244" s="34">
        <v>7.105999999999999</v>
      </c>
      <c r="G2244" s="34">
        <f t="shared" si="35"/>
        <v>41.321389999999994</v>
      </c>
      <c r="H2244" s="35"/>
      <c r="I2244" s="31"/>
      <c r="J2244" s="155">
        <v>0</v>
      </c>
    </row>
    <row r="2245" spans="1:10" ht="15" hidden="1" thickBot="1" x14ac:dyDescent="0.35">
      <c r="A2245" s="229"/>
      <c r="B2245" s="224"/>
      <c r="C2245" s="36" t="s">
        <v>214</v>
      </c>
      <c r="D2245" s="50" t="s">
        <v>103</v>
      </c>
      <c r="E2245" s="37">
        <f>ROUND(0.108*0.15*(2*2.1+0.8),4)</f>
        <v>8.1000000000000003E-2</v>
      </c>
      <c r="F2245" s="34" t="s">
        <v>560</v>
      </c>
      <c r="G2245" s="31" t="str">
        <f t="shared" si="35"/>
        <v/>
      </c>
      <c r="H2245" s="35"/>
      <c r="I2245" s="31"/>
      <c r="J2245" s="155">
        <v>0</v>
      </c>
    </row>
    <row r="2246" spans="1:10" ht="15" hidden="1" thickBot="1" x14ac:dyDescent="0.35">
      <c r="A2246" s="229"/>
      <c r="B2246" s="224"/>
      <c r="C2246" s="36" t="s">
        <v>101</v>
      </c>
      <c r="D2246" s="36" t="s">
        <v>12</v>
      </c>
      <c r="E2246" s="37">
        <f>ROUND(0.7076*0.15*(2*2.1+0.8),4)</f>
        <v>0.53069999999999995</v>
      </c>
      <c r="F2246" s="31">
        <v>21.156500000000001</v>
      </c>
      <c r="G2246" s="31">
        <f t="shared" si="35"/>
        <v>11.22775455</v>
      </c>
      <c r="H2246" s="35"/>
      <c r="I2246" s="31"/>
      <c r="J2246" s="155">
        <v>0</v>
      </c>
    </row>
    <row r="2247" spans="1:10" ht="15" hidden="1" thickBot="1" x14ac:dyDescent="0.35">
      <c r="A2247" s="229"/>
      <c r="B2247" s="224"/>
      <c r="C2247" s="36"/>
      <c r="D2247" s="36"/>
      <c r="E2247" s="37"/>
      <c r="F2247" s="31" t="s">
        <v>560</v>
      </c>
      <c r="G2247" s="31"/>
      <c r="H2247" s="35"/>
      <c r="I2247" s="31"/>
      <c r="J2247" s="155">
        <v>0</v>
      </c>
    </row>
    <row r="2248" spans="1:10" ht="15" hidden="1" thickBot="1" x14ac:dyDescent="0.35">
      <c r="A2248" s="229"/>
      <c r="B2248" s="224"/>
      <c r="C2248" s="2" t="s">
        <v>1865</v>
      </c>
      <c r="D2248" s="36"/>
      <c r="E2248" s="37"/>
      <c r="F2248" s="31" t="s">
        <v>560</v>
      </c>
      <c r="G2248" s="31"/>
      <c r="H2248" s="35"/>
      <c r="I2248" s="31"/>
      <c r="J2248" s="155">
        <v>0</v>
      </c>
    </row>
    <row r="2249" spans="1:10" ht="15" hidden="1" thickBot="1" x14ac:dyDescent="0.35">
      <c r="A2249" s="230"/>
      <c r="B2249" s="225"/>
      <c r="C2249" s="36"/>
      <c r="D2249" s="36"/>
      <c r="E2249" s="37"/>
      <c r="F2249" s="31" t="s">
        <v>560</v>
      </c>
      <c r="G2249" s="31" t="str">
        <f t="shared" ref="G2249:G2262" si="36">IF(ISNUMBER(F2249),E2249*F2249,"")</f>
        <v/>
      </c>
      <c r="H2249" s="35"/>
      <c r="I2249" s="31"/>
      <c r="J2249" s="155">
        <v>0</v>
      </c>
    </row>
    <row r="2250" spans="1:10" ht="15" hidden="1" thickBot="1" x14ac:dyDescent="0.35">
      <c r="A2250" s="226" t="s">
        <v>738</v>
      </c>
      <c r="B2250" s="223" t="e">
        <f>INDEX(#REF!,MATCH(Composições!A2250,#REF!,0),2)</f>
        <v>#REF!</v>
      </c>
      <c r="C2250" s="148"/>
      <c r="D2250" s="26" t="e">
        <f>TRIM(INDEX(#REF!,MATCH(Composições!A2250,#REF!,0),1))</f>
        <v>#REF!</v>
      </c>
      <c r="E2250" s="27"/>
      <c r="F2250" s="42" t="s">
        <v>560</v>
      </c>
      <c r="G2250" s="28" t="str">
        <f t="shared" si="36"/>
        <v/>
      </c>
      <c r="H2250" s="29"/>
      <c r="I2250" s="30"/>
      <c r="J2250" s="155">
        <v>0</v>
      </c>
    </row>
    <row r="2251" spans="1:10" ht="15" hidden="1" thickBot="1" x14ac:dyDescent="0.35">
      <c r="A2251" s="229"/>
      <c r="B2251" s="224"/>
      <c r="C2251" s="32"/>
      <c r="D2251" s="32"/>
      <c r="E2251" s="33"/>
      <c r="F2251" s="43" t="s">
        <v>560</v>
      </c>
      <c r="G2251" s="31" t="str">
        <f t="shared" si="36"/>
        <v/>
      </c>
      <c r="H2251" s="35"/>
      <c r="I2251" s="31"/>
      <c r="J2251" s="155">
        <v>0</v>
      </c>
    </row>
    <row r="2252" spans="1:10" ht="15" hidden="1" thickBot="1" x14ac:dyDescent="0.35">
      <c r="A2252" s="229"/>
      <c r="B2252" s="224"/>
      <c r="C2252" s="36" t="s">
        <v>23</v>
      </c>
      <c r="D2252" s="36" t="s">
        <v>12</v>
      </c>
      <c r="E2252" s="37">
        <v>0.3</v>
      </c>
      <c r="F2252" s="31">
        <v>14.968499999999999</v>
      </c>
      <c r="G2252" s="34">
        <f t="shared" si="36"/>
        <v>4.4905499999999998</v>
      </c>
      <c r="H2252" s="39">
        <f>SUM(G2252:G2254)</f>
        <v>10.636049999999999</v>
      </c>
      <c r="I2252" s="40"/>
      <c r="J2252" s="155">
        <v>0</v>
      </c>
    </row>
    <row r="2253" spans="1:10" ht="15" hidden="1" thickBot="1" x14ac:dyDescent="0.35">
      <c r="A2253" s="229"/>
      <c r="B2253" s="224"/>
      <c r="C2253" s="36" t="s">
        <v>645</v>
      </c>
      <c r="D2253" s="36" t="s">
        <v>12</v>
      </c>
      <c r="E2253" s="37">
        <v>0.3</v>
      </c>
      <c r="F2253" s="31">
        <v>20.484999999999999</v>
      </c>
      <c r="G2253" s="34">
        <f t="shared" si="36"/>
        <v>6.1454999999999993</v>
      </c>
      <c r="H2253" s="45"/>
      <c r="I2253" s="46"/>
      <c r="J2253" s="155">
        <v>0</v>
      </c>
    </row>
    <row r="2254" spans="1:10" ht="27" hidden="1" thickBot="1" x14ac:dyDescent="0.35">
      <c r="A2254" s="229"/>
      <c r="B2254" s="224"/>
      <c r="C2254" s="36" t="s">
        <v>739</v>
      </c>
      <c r="D2254" s="47" t="s">
        <v>95</v>
      </c>
      <c r="E2254" s="37">
        <v>1</v>
      </c>
      <c r="F2254" s="34" t="s">
        <v>560</v>
      </c>
      <c r="G2254" s="34" t="str">
        <f t="shared" si="36"/>
        <v/>
      </c>
      <c r="H2254" s="35"/>
      <c r="I2254" s="31"/>
      <c r="J2254" s="155">
        <v>0</v>
      </c>
    </row>
    <row r="2255" spans="1:10" ht="15" hidden="1" thickBot="1" x14ac:dyDescent="0.35">
      <c r="A2255" s="230"/>
      <c r="B2255" s="225"/>
      <c r="C2255" s="36"/>
      <c r="D2255" s="36"/>
      <c r="E2255" s="37"/>
      <c r="F2255" s="31" t="s">
        <v>560</v>
      </c>
      <c r="G2255" s="31" t="str">
        <f t="shared" si="36"/>
        <v/>
      </c>
      <c r="H2255" s="35"/>
      <c r="I2255" s="31"/>
      <c r="J2255" s="155">
        <v>0</v>
      </c>
    </row>
    <row r="2256" spans="1:10" ht="15" hidden="1" thickBot="1" x14ac:dyDescent="0.35">
      <c r="A2256" s="220" t="s">
        <v>740</v>
      </c>
      <c r="B2256" s="233" t="e">
        <f>INDEX(#REF!,MATCH(Composições!A2256,#REF!,0),2)</f>
        <v>#REF!</v>
      </c>
      <c r="C2256" s="41"/>
      <c r="D2256" s="26" t="e">
        <f>TRIM(INDEX(#REF!,MATCH(Composições!A2256,#REF!,0),1))</f>
        <v>#REF!</v>
      </c>
      <c r="E2256" s="27"/>
      <c r="F2256" s="42" t="s">
        <v>560</v>
      </c>
      <c r="G2256" s="28" t="str">
        <f t="shared" si="36"/>
        <v/>
      </c>
      <c r="H2256" s="29"/>
      <c r="I2256" s="30"/>
      <c r="J2256" s="155">
        <v>0</v>
      </c>
    </row>
    <row r="2257" spans="1:10" ht="15" hidden="1" thickBot="1" x14ac:dyDescent="0.35">
      <c r="A2257" s="231"/>
      <c r="B2257" s="234"/>
      <c r="C2257" s="32"/>
      <c r="D2257" s="32"/>
      <c r="E2257" s="33"/>
      <c r="F2257" s="43" t="s">
        <v>560</v>
      </c>
      <c r="G2257" s="31" t="str">
        <f t="shared" si="36"/>
        <v/>
      </c>
      <c r="H2257" s="35"/>
      <c r="I2257" s="31"/>
      <c r="J2257" s="155">
        <v>0</v>
      </c>
    </row>
    <row r="2258" spans="1:10" ht="53.4" hidden="1" thickBot="1" x14ac:dyDescent="0.35">
      <c r="A2258" s="231"/>
      <c r="B2258" s="234"/>
      <c r="C2258" s="36" t="s">
        <v>2056</v>
      </c>
      <c r="D2258" s="47" t="s">
        <v>292</v>
      </c>
      <c r="E2258" s="37">
        <v>1</v>
      </c>
      <c r="F2258" s="34">
        <v>168.17249999999999</v>
      </c>
      <c r="G2258" s="34">
        <f t="shared" si="36"/>
        <v>168.17249999999999</v>
      </c>
      <c r="H2258" s="39">
        <f>SUM(G2258:G2262)</f>
        <v>234.25276479999999</v>
      </c>
      <c r="I2258" s="40"/>
      <c r="J2258" s="155">
        <v>0</v>
      </c>
    </row>
    <row r="2259" spans="1:10" ht="15" hidden="1" thickBot="1" x14ac:dyDescent="0.35">
      <c r="A2259" s="231"/>
      <c r="B2259" s="234"/>
      <c r="C2259" s="36" t="s">
        <v>743</v>
      </c>
      <c r="D2259" s="47" t="s">
        <v>744</v>
      </c>
      <c r="E2259" s="37">
        <f>ROUND(1.282*0.8,4)</f>
        <v>1.0256000000000001</v>
      </c>
      <c r="F2259" s="31">
        <v>20.161999999999999</v>
      </c>
      <c r="G2259" s="34">
        <f t="shared" si="36"/>
        <v>20.678147200000002</v>
      </c>
      <c r="H2259" s="35"/>
      <c r="I2259" s="31"/>
      <c r="J2259" s="155">
        <v>0</v>
      </c>
    </row>
    <row r="2260" spans="1:10" ht="15" hidden="1" thickBot="1" x14ac:dyDescent="0.35">
      <c r="A2260" s="231"/>
      <c r="B2260" s="234"/>
      <c r="C2260" s="36" t="s">
        <v>745</v>
      </c>
      <c r="D2260" s="47" t="s">
        <v>744</v>
      </c>
      <c r="E2260" s="37">
        <f>ROUND(0.641*0.8,4)</f>
        <v>0.51280000000000003</v>
      </c>
      <c r="F2260" s="31">
        <v>14.968499999999999</v>
      </c>
      <c r="G2260" s="34">
        <f t="shared" si="36"/>
        <v>7.6758467999999995</v>
      </c>
      <c r="H2260" s="35"/>
      <c r="I2260" s="31"/>
      <c r="J2260" s="155">
        <v>0</v>
      </c>
    </row>
    <row r="2261" spans="1:10" ht="15" hidden="1" thickBot="1" x14ac:dyDescent="0.35">
      <c r="A2261" s="231"/>
      <c r="B2261" s="234"/>
      <c r="C2261" s="36" t="s">
        <v>214</v>
      </c>
      <c r="D2261" s="50" t="s">
        <v>103</v>
      </c>
      <c r="E2261" s="37">
        <f>ROUND(0.108*(2*0.6*2.1),4)</f>
        <v>0.2722</v>
      </c>
      <c r="F2261" s="34" t="s">
        <v>560</v>
      </c>
      <c r="G2261" s="31" t="str">
        <f t="shared" si="36"/>
        <v/>
      </c>
      <c r="H2261" s="35"/>
      <c r="I2261" s="31"/>
      <c r="J2261" s="155">
        <v>0</v>
      </c>
    </row>
    <row r="2262" spans="1:10" ht="15" hidden="1" thickBot="1" x14ac:dyDescent="0.35">
      <c r="A2262" s="231"/>
      <c r="B2262" s="234"/>
      <c r="C2262" s="36" t="s">
        <v>101</v>
      </c>
      <c r="D2262" s="36" t="s">
        <v>12</v>
      </c>
      <c r="E2262" s="37">
        <f>ROUND(0.7076*(2*0.6*2.1),4)</f>
        <v>1.7831999999999999</v>
      </c>
      <c r="F2262" s="31">
        <v>21.156500000000001</v>
      </c>
      <c r="G2262" s="31">
        <f t="shared" si="36"/>
        <v>37.726270800000002</v>
      </c>
      <c r="H2262" s="35"/>
      <c r="I2262" s="31"/>
      <c r="J2262" s="155">
        <v>0</v>
      </c>
    </row>
    <row r="2263" spans="1:10" ht="15" hidden="1" thickBot="1" x14ac:dyDescent="0.35">
      <c r="A2263" s="231"/>
      <c r="B2263" s="234"/>
      <c r="C2263" s="36"/>
      <c r="D2263" s="36"/>
      <c r="E2263" s="37"/>
      <c r="F2263" s="31" t="s">
        <v>560</v>
      </c>
      <c r="G2263" s="31"/>
      <c r="H2263" s="35"/>
      <c r="I2263" s="31"/>
      <c r="J2263" s="155">
        <v>0</v>
      </c>
    </row>
    <row r="2264" spans="1:10" ht="15" hidden="1" thickBot="1" x14ac:dyDescent="0.35">
      <c r="A2264" s="231"/>
      <c r="B2264" s="234"/>
      <c r="C2264" s="2" t="s">
        <v>1865</v>
      </c>
      <c r="D2264" s="36"/>
      <c r="E2264" s="37"/>
      <c r="F2264" s="31" t="s">
        <v>560</v>
      </c>
      <c r="G2264" s="31"/>
      <c r="H2264" s="35"/>
      <c r="I2264" s="31"/>
      <c r="J2264" s="155">
        <v>0</v>
      </c>
    </row>
    <row r="2265" spans="1:10" ht="15" hidden="1" thickBot="1" x14ac:dyDescent="0.35">
      <c r="A2265" s="231"/>
      <c r="B2265" s="234"/>
      <c r="C2265" s="36"/>
      <c r="D2265" s="47"/>
      <c r="E2265" s="37"/>
      <c r="F2265" s="34" t="s">
        <v>560</v>
      </c>
      <c r="G2265" s="34" t="str">
        <f t="shared" ref="G2265:G2272" si="37">IF(ISNUMBER(F2265),E2265*F2265,"")</f>
        <v/>
      </c>
      <c r="H2265" s="35"/>
      <c r="I2265" s="31"/>
      <c r="J2265" s="155">
        <v>0</v>
      </c>
    </row>
    <row r="2266" spans="1:10" ht="15" hidden="1" thickBot="1" x14ac:dyDescent="0.35">
      <c r="A2266" s="220" t="s">
        <v>746</v>
      </c>
      <c r="B2266" s="233" t="e">
        <f>INDEX(#REF!,MATCH(Composições!A2266,#REF!,0),2)</f>
        <v>#REF!</v>
      </c>
      <c r="C2266" s="41"/>
      <c r="D2266" s="26" t="e">
        <f>TRIM(INDEX(#REF!,MATCH(Composições!A2266,#REF!,0),1))</f>
        <v>#REF!</v>
      </c>
      <c r="E2266" s="27"/>
      <c r="F2266" s="42" t="s">
        <v>560</v>
      </c>
      <c r="G2266" s="28" t="str">
        <f t="shared" si="37"/>
        <v/>
      </c>
      <c r="H2266" s="29"/>
      <c r="I2266" s="30"/>
      <c r="J2266" s="155">
        <v>0</v>
      </c>
    </row>
    <row r="2267" spans="1:10" ht="15" hidden="1" thickBot="1" x14ac:dyDescent="0.35">
      <c r="A2267" s="231"/>
      <c r="B2267" s="234"/>
      <c r="C2267" s="32"/>
      <c r="D2267" s="32"/>
      <c r="E2267" s="33"/>
      <c r="F2267" s="43" t="s">
        <v>560</v>
      </c>
      <c r="G2267" s="31" t="str">
        <f t="shared" si="37"/>
        <v/>
      </c>
      <c r="H2267" s="35"/>
      <c r="I2267" s="31"/>
      <c r="J2267" s="155">
        <v>0</v>
      </c>
    </row>
    <row r="2268" spans="1:10" ht="53.4" hidden="1" thickBot="1" x14ac:dyDescent="0.35">
      <c r="A2268" s="231"/>
      <c r="B2268" s="234"/>
      <c r="C2268" s="36" t="s">
        <v>2051</v>
      </c>
      <c r="D2268" s="47" t="s">
        <v>292</v>
      </c>
      <c r="E2268" s="37">
        <v>1</v>
      </c>
      <c r="F2268" s="34">
        <v>170</v>
      </c>
      <c r="G2268" s="34">
        <f t="shared" si="37"/>
        <v>170</v>
      </c>
      <c r="H2268" s="39">
        <f>SUM(G2268:G2272)</f>
        <v>245.28530495000001</v>
      </c>
      <c r="I2268" s="40"/>
      <c r="J2268" s="155">
        <v>0</v>
      </c>
    </row>
    <row r="2269" spans="1:10" ht="15" hidden="1" thickBot="1" x14ac:dyDescent="0.35">
      <c r="A2269" s="231"/>
      <c r="B2269" s="234"/>
      <c r="C2269" s="36" t="s">
        <v>743</v>
      </c>
      <c r="D2269" s="47" t="s">
        <v>744</v>
      </c>
      <c r="E2269" s="37">
        <f>ROUND(1.414*0.8,4)</f>
        <v>1.1312</v>
      </c>
      <c r="F2269" s="31">
        <v>20.161999999999999</v>
      </c>
      <c r="G2269" s="34">
        <f t="shared" si="37"/>
        <v>22.807254399999998</v>
      </c>
      <c r="H2269" s="35"/>
      <c r="I2269" s="31"/>
      <c r="J2269" s="155">
        <v>0</v>
      </c>
    </row>
    <row r="2270" spans="1:10" ht="15" hidden="1" thickBot="1" x14ac:dyDescent="0.35">
      <c r="A2270" s="231"/>
      <c r="B2270" s="234"/>
      <c r="C2270" s="36" t="s">
        <v>745</v>
      </c>
      <c r="D2270" s="47" t="s">
        <v>744</v>
      </c>
      <c r="E2270" s="37">
        <f>ROUND(0.707*0.8,4)</f>
        <v>0.56559999999999999</v>
      </c>
      <c r="F2270" s="31">
        <v>14.968499999999999</v>
      </c>
      <c r="G2270" s="34">
        <f t="shared" si="37"/>
        <v>8.466183599999999</v>
      </c>
      <c r="H2270" s="35"/>
      <c r="I2270" s="31"/>
      <c r="J2270" s="155">
        <v>0</v>
      </c>
    </row>
    <row r="2271" spans="1:10" ht="15" hidden="1" thickBot="1" x14ac:dyDescent="0.35">
      <c r="A2271" s="231"/>
      <c r="B2271" s="234"/>
      <c r="C2271" s="36" t="s">
        <v>214</v>
      </c>
      <c r="D2271" s="50" t="s">
        <v>103</v>
      </c>
      <c r="E2271" s="37">
        <f>ROUND(0.108*(2*0.7*2.1),4)</f>
        <v>0.3175</v>
      </c>
      <c r="F2271" s="34" t="s">
        <v>560</v>
      </c>
      <c r="G2271" s="31" t="str">
        <f t="shared" si="37"/>
        <v/>
      </c>
      <c r="H2271" s="35"/>
      <c r="I2271" s="31"/>
      <c r="J2271" s="155">
        <v>0</v>
      </c>
    </row>
    <row r="2272" spans="1:10" ht="15" hidden="1" thickBot="1" x14ac:dyDescent="0.35">
      <c r="A2272" s="231"/>
      <c r="B2272" s="234"/>
      <c r="C2272" s="36" t="s">
        <v>101</v>
      </c>
      <c r="D2272" s="36" t="s">
        <v>12</v>
      </c>
      <c r="E2272" s="37">
        <f>ROUND(0.7076*(2*0.7*2.1),4)</f>
        <v>2.0802999999999998</v>
      </c>
      <c r="F2272" s="31">
        <v>21.156500000000001</v>
      </c>
      <c r="G2272" s="31">
        <f t="shared" si="37"/>
        <v>44.011866949999998</v>
      </c>
      <c r="H2272" s="35"/>
      <c r="I2272" s="31"/>
      <c r="J2272" s="155">
        <v>0</v>
      </c>
    </row>
    <row r="2273" spans="1:10" ht="15" hidden="1" thickBot="1" x14ac:dyDescent="0.35">
      <c r="A2273" s="231"/>
      <c r="B2273" s="234"/>
      <c r="C2273" s="36"/>
      <c r="D2273" s="36"/>
      <c r="E2273" s="37"/>
      <c r="F2273" s="31" t="s">
        <v>560</v>
      </c>
      <c r="G2273" s="31"/>
      <c r="H2273" s="35"/>
      <c r="I2273" s="31"/>
      <c r="J2273" s="155">
        <v>0</v>
      </c>
    </row>
    <row r="2274" spans="1:10" ht="15" hidden="1" thickBot="1" x14ac:dyDescent="0.35">
      <c r="A2274" s="231"/>
      <c r="B2274" s="234"/>
      <c r="C2274" s="2" t="s">
        <v>1865</v>
      </c>
      <c r="D2274" s="36"/>
      <c r="E2274" s="37"/>
      <c r="F2274" s="31" t="s">
        <v>560</v>
      </c>
      <c r="G2274" s="31"/>
      <c r="H2274" s="35"/>
      <c r="I2274" s="31"/>
      <c r="J2274" s="155">
        <v>0</v>
      </c>
    </row>
    <row r="2275" spans="1:10" ht="15" hidden="1" thickBot="1" x14ac:dyDescent="0.35">
      <c r="A2275" s="231"/>
      <c r="B2275" s="234"/>
      <c r="C2275" s="36"/>
      <c r="D2275" s="47"/>
      <c r="E2275" s="37"/>
      <c r="F2275" s="34" t="s">
        <v>560</v>
      </c>
      <c r="G2275" s="34" t="str">
        <f t="shared" ref="G2275:G2282" si="38">IF(ISNUMBER(F2275),E2275*F2275,"")</f>
        <v/>
      </c>
      <c r="H2275" s="35"/>
      <c r="I2275" s="31"/>
      <c r="J2275" s="155">
        <v>0</v>
      </c>
    </row>
    <row r="2276" spans="1:10" ht="15" hidden="1" thickBot="1" x14ac:dyDescent="0.35">
      <c r="A2276" s="220" t="s">
        <v>747</v>
      </c>
      <c r="B2276" s="233" t="e">
        <f>INDEX(#REF!,MATCH(Composições!A2276,#REF!,0),2)</f>
        <v>#REF!</v>
      </c>
      <c r="C2276" s="41"/>
      <c r="D2276" s="26" t="e">
        <f>TRIM(INDEX(#REF!,MATCH(Composições!A2276,#REF!,0),1))</f>
        <v>#REF!</v>
      </c>
      <c r="E2276" s="27"/>
      <c r="F2276" s="42" t="s">
        <v>560</v>
      </c>
      <c r="G2276" s="28" t="str">
        <f t="shared" si="38"/>
        <v/>
      </c>
      <c r="H2276" s="29"/>
      <c r="I2276" s="30"/>
      <c r="J2276" s="155">
        <v>0</v>
      </c>
    </row>
    <row r="2277" spans="1:10" ht="15" hidden="1" thickBot="1" x14ac:dyDescent="0.35">
      <c r="A2277" s="231"/>
      <c r="B2277" s="234"/>
      <c r="C2277" s="32"/>
      <c r="D2277" s="32"/>
      <c r="E2277" s="33"/>
      <c r="F2277" s="43" t="s">
        <v>560</v>
      </c>
      <c r="G2277" s="31" t="str">
        <f t="shared" si="38"/>
        <v/>
      </c>
      <c r="H2277" s="35"/>
      <c r="I2277" s="31"/>
      <c r="J2277" s="155">
        <v>0</v>
      </c>
    </row>
    <row r="2278" spans="1:10" ht="53.4" hidden="1" thickBot="1" x14ac:dyDescent="0.35">
      <c r="A2278" s="231"/>
      <c r="B2278" s="234"/>
      <c r="C2278" s="36" t="s">
        <v>2053</v>
      </c>
      <c r="D2278" s="47" t="s">
        <v>292</v>
      </c>
      <c r="E2278" s="37">
        <v>1</v>
      </c>
      <c r="F2278" s="34">
        <v>210.66399999999999</v>
      </c>
      <c r="G2278" s="34">
        <f t="shared" si="38"/>
        <v>210.66399999999999</v>
      </c>
      <c r="H2278" s="39">
        <f>SUM(G2278:G2282)</f>
        <v>295.15646075000001</v>
      </c>
      <c r="I2278" s="40"/>
      <c r="J2278" s="155">
        <v>0</v>
      </c>
    </row>
    <row r="2279" spans="1:10" ht="15" hidden="1" thickBot="1" x14ac:dyDescent="0.35">
      <c r="A2279" s="231"/>
      <c r="B2279" s="234"/>
      <c r="C2279" s="36" t="s">
        <v>743</v>
      </c>
      <c r="D2279" s="47" t="s">
        <v>744</v>
      </c>
      <c r="E2279" s="37">
        <f>ROUND(1.546*0.8,4)</f>
        <v>1.2367999999999999</v>
      </c>
      <c r="F2279" s="31">
        <v>20.161999999999999</v>
      </c>
      <c r="G2279" s="34">
        <f t="shared" si="38"/>
        <v>24.936361599999998</v>
      </c>
      <c r="H2279" s="35"/>
      <c r="I2279" s="31"/>
      <c r="J2279" s="155">
        <v>0</v>
      </c>
    </row>
    <row r="2280" spans="1:10" ht="15" hidden="1" thickBot="1" x14ac:dyDescent="0.35">
      <c r="A2280" s="231"/>
      <c r="B2280" s="234"/>
      <c r="C2280" s="36" t="s">
        <v>745</v>
      </c>
      <c r="D2280" s="47" t="s">
        <v>744</v>
      </c>
      <c r="E2280" s="37">
        <f>ROUND(0.773*0.8,4)</f>
        <v>0.61839999999999995</v>
      </c>
      <c r="F2280" s="31">
        <v>14.968499999999999</v>
      </c>
      <c r="G2280" s="34">
        <f t="shared" si="38"/>
        <v>9.2565203999999977</v>
      </c>
      <c r="H2280" s="35"/>
      <c r="I2280" s="31"/>
      <c r="J2280" s="155">
        <v>0</v>
      </c>
    </row>
    <row r="2281" spans="1:10" ht="15" hidden="1" thickBot="1" x14ac:dyDescent="0.35">
      <c r="A2281" s="231"/>
      <c r="B2281" s="234"/>
      <c r="C2281" s="36" t="s">
        <v>214</v>
      </c>
      <c r="D2281" s="50" t="s">
        <v>103</v>
      </c>
      <c r="E2281" s="37">
        <f>ROUND(0.108*(2*0.8*2.1),4)</f>
        <v>0.3629</v>
      </c>
      <c r="F2281" s="34" t="s">
        <v>560</v>
      </c>
      <c r="G2281" s="31" t="str">
        <f t="shared" si="38"/>
        <v/>
      </c>
      <c r="H2281" s="35"/>
      <c r="I2281" s="31"/>
      <c r="J2281" s="155">
        <v>0</v>
      </c>
    </row>
    <row r="2282" spans="1:10" ht="15" hidden="1" thickBot="1" x14ac:dyDescent="0.35">
      <c r="A2282" s="231"/>
      <c r="B2282" s="234"/>
      <c r="C2282" s="36" t="s">
        <v>101</v>
      </c>
      <c r="D2282" s="36" t="s">
        <v>12</v>
      </c>
      <c r="E2282" s="37">
        <f>ROUND(0.7076*(2*0.8*2.1),4)</f>
        <v>2.3774999999999999</v>
      </c>
      <c r="F2282" s="31">
        <v>21.156500000000001</v>
      </c>
      <c r="G2282" s="31">
        <f t="shared" si="38"/>
        <v>50.299578750000002</v>
      </c>
      <c r="H2282" s="35"/>
      <c r="I2282" s="31"/>
      <c r="J2282" s="155">
        <v>0</v>
      </c>
    </row>
    <row r="2283" spans="1:10" ht="15" hidden="1" thickBot="1" x14ac:dyDescent="0.35">
      <c r="A2283" s="231"/>
      <c r="B2283" s="234"/>
      <c r="C2283" s="36"/>
      <c r="D2283" s="36"/>
      <c r="E2283" s="37"/>
      <c r="F2283" s="31" t="s">
        <v>560</v>
      </c>
      <c r="G2283" s="31"/>
      <c r="H2283" s="35"/>
      <c r="I2283" s="31"/>
      <c r="J2283" s="155">
        <v>0</v>
      </c>
    </row>
    <row r="2284" spans="1:10" ht="15" hidden="1" thickBot="1" x14ac:dyDescent="0.35">
      <c r="A2284" s="231"/>
      <c r="B2284" s="234"/>
      <c r="C2284" s="2" t="s">
        <v>1865</v>
      </c>
      <c r="D2284" s="36"/>
      <c r="E2284" s="37"/>
      <c r="F2284" s="31" t="s">
        <v>560</v>
      </c>
      <c r="G2284" s="31"/>
      <c r="H2284" s="35"/>
      <c r="I2284" s="31"/>
      <c r="J2284" s="155">
        <v>0</v>
      </c>
    </row>
    <row r="2285" spans="1:10" ht="15" hidden="1" thickBot="1" x14ac:dyDescent="0.35">
      <c r="A2285" s="231"/>
      <c r="B2285" s="234"/>
      <c r="C2285" s="36"/>
      <c r="D2285" s="47"/>
      <c r="E2285" s="37"/>
      <c r="F2285" s="34" t="s">
        <v>560</v>
      </c>
      <c r="G2285" s="34" t="str">
        <f t="shared" ref="G2285:G2292" si="39">IF(ISNUMBER(F2285),E2285*F2285,"")</f>
        <v/>
      </c>
      <c r="H2285" s="35"/>
      <c r="I2285" s="31"/>
      <c r="J2285" s="155">
        <v>0</v>
      </c>
    </row>
    <row r="2286" spans="1:10" ht="15" hidden="1" thickBot="1" x14ac:dyDescent="0.35">
      <c r="A2286" s="220" t="s">
        <v>748</v>
      </c>
      <c r="B2286" s="233" t="e">
        <f>INDEX(#REF!,MATCH(Composições!A2286,#REF!,0),2)</f>
        <v>#REF!</v>
      </c>
      <c r="C2286" s="41"/>
      <c r="D2286" s="26" t="e">
        <f>TRIM(INDEX(#REF!,MATCH(Composições!A2286,#REF!,0),1))</f>
        <v>#REF!</v>
      </c>
      <c r="E2286" s="27"/>
      <c r="F2286" s="42" t="s">
        <v>560</v>
      </c>
      <c r="G2286" s="28" t="str">
        <f t="shared" si="39"/>
        <v/>
      </c>
      <c r="H2286" s="29"/>
      <c r="I2286" s="30"/>
      <c r="J2286" s="155">
        <v>0</v>
      </c>
    </row>
    <row r="2287" spans="1:10" ht="15" hidden="1" thickBot="1" x14ac:dyDescent="0.35">
      <c r="A2287" s="231"/>
      <c r="B2287" s="234"/>
      <c r="C2287" s="32"/>
      <c r="D2287" s="32"/>
      <c r="E2287" s="33"/>
      <c r="F2287" s="43" t="s">
        <v>560</v>
      </c>
      <c r="G2287" s="31" t="str">
        <f t="shared" si="39"/>
        <v/>
      </c>
      <c r="H2287" s="35"/>
      <c r="I2287" s="31"/>
      <c r="J2287" s="155">
        <v>0</v>
      </c>
    </row>
    <row r="2288" spans="1:10" ht="53.4" hidden="1" thickBot="1" x14ac:dyDescent="0.35">
      <c r="A2288" s="231"/>
      <c r="B2288" s="234"/>
      <c r="C2288" s="36" t="s">
        <v>2054</v>
      </c>
      <c r="D2288" s="47" t="s">
        <v>292</v>
      </c>
      <c r="E2288" s="37">
        <v>1</v>
      </c>
      <c r="F2288" s="34">
        <v>241.01750000000001</v>
      </c>
      <c r="G2288" s="34">
        <f t="shared" si="39"/>
        <v>241.01750000000001</v>
      </c>
      <c r="H2288" s="39">
        <f>SUM(G2288:G2292)</f>
        <v>334.71711655000001</v>
      </c>
      <c r="I2288" s="40"/>
      <c r="J2288" s="155">
        <v>0</v>
      </c>
    </row>
    <row r="2289" spans="1:10" ht="15" hidden="1" thickBot="1" x14ac:dyDescent="0.35">
      <c r="A2289" s="231"/>
      <c r="B2289" s="234"/>
      <c r="C2289" s="36" t="s">
        <v>743</v>
      </c>
      <c r="D2289" s="47" t="s">
        <v>744</v>
      </c>
      <c r="E2289" s="37">
        <f>ROUND(1.678*0.8,4)</f>
        <v>1.3424</v>
      </c>
      <c r="F2289" s="31">
        <v>20.161999999999999</v>
      </c>
      <c r="G2289" s="34">
        <f t="shared" si="39"/>
        <v>27.065468799999998</v>
      </c>
      <c r="H2289" s="35"/>
      <c r="I2289" s="31"/>
      <c r="J2289" s="155">
        <v>0</v>
      </c>
    </row>
    <row r="2290" spans="1:10" ht="15" hidden="1" thickBot="1" x14ac:dyDescent="0.35">
      <c r="A2290" s="231"/>
      <c r="B2290" s="234"/>
      <c r="C2290" s="36" t="s">
        <v>745</v>
      </c>
      <c r="D2290" s="47" t="s">
        <v>744</v>
      </c>
      <c r="E2290" s="37">
        <f>ROUND(0.839*0.8,4)</f>
        <v>0.67120000000000002</v>
      </c>
      <c r="F2290" s="31">
        <v>14.968499999999999</v>
      </c>
      <c r="G2290" s="34">
        <f t="shared" si="39"/>
        <v>10.0468572</v>
      </c>
      <c r="H2290" s="35"/>
      <c r="I2290" s="31"/>
      <c r="J2290" s="155">
        <v>0</v>
      </c>
    </row>
    <row r="2291" spans="1:10" ht="15" hidden="1" thickBot="1" x14ac:dyDescent="0.35">
      <c r="A2291" s="231"/>
      <c r="B2291" s="234"/>
      <c r="C2291" s="36" t="s">
        <v>214</v>
      </c>
      <c r="D2291" s="50" t="s">
        <v>103</v>
      </c>
      <c r="E2291" s="37">
        <f>ROUND(0.108*(2*0.9*2.1),4)</f>
        <v>0.40820000000000001</v>
      </c>
      <c r="F2291" s="34" t="s">
        <v>560</v>
      </c>
      <c r="G2291" s="31" t="str">
        <f t="shared" si="39"/>
        <v/>
      </c>
      <c r="H2291" s="35"/>
      <c r="I2291" s="31"/>
      <c r="J2291" s="155">
        <v>0</v>
      </c>
    </row>
    <row r="2292" spans="1:10" ht="15" hidden="1" thickBot="1" x14ac:dyDescent="0.35">
      <c r="A2292" s="231"/>
      <c r="B2292" s="234"/>
      <c r="C2292" s="36" t="s">
        <v>101</v>
      </c>
      <c r="D2292" s="36" t="s">
        <v>12</v>
      </c>
      <c r="E2292" s="37">
        <f>ROUND(0.7076*(2*0.9*2.1),4)</f>
        <v>2.6747000000000001</v>
      </c>
      <c r="F2292" s="31">
        <v>21.156500000000001</v>
      </c>
      <c r="G2292" s="31">
        <f t="shared" si="39"/>
        <v>56.587290550000006</v>
      </c>
      <c r="H2292" s="35"/>
      <c r="I2292" s="31"/>
      <c r="J2292" s="155">
        <v>0</v>
      </c>
    </row>
    <row r="2293" spans="1:10" ht="15" hidden="1" thickBot="1" x14ac:dyDescent="0.35">
      <c r="A2293" s="231"/>
      <c r="B2293" s="234"/>
      <c r="C2293" s="36"/>
      <c r="D2293" s="36"/>
      <c r="E2293" s="37"/>
      <c r="F2293" s="31" t="s">
        <v>560</v>
      </c>
      <c r="G2293" s="31"/>
      <c r="H2293" s="35"/>
      <c r="I2293" s="31"/>
      <c r="J2293" s="155">
        <v>0</v>
      </c>
    </row>
    <row r="2294" spans="1:10" ht="15" hidden="1" thickBot="1" x14ac:dyDescent="0.35">
      <c r="A2294" s="231"/>
      <c r="B2294" s="234"/>
      <c r="C2294" s="2" t="s">
        <v>1865</v>
      </c>
      <c r="D2294" s="36"/>
      <c r="E2294" s="37"/>
      <c r="F2294" s="31" t="s">
        <v>560</v>
      </c>
      <c r="G2294" s="31"/>
      <c r="H2294" s="35"/>
      <c r="I2294" s="31"/>
      <c r="J2294" s="155">
        <v>0</v>
      </c>
    </row>
    <row r="2295" spans="1:10" ht="15" hidden="1" thickBot="1" x14ac:dyDescent="0.35">
      <c r="A2295" s="231"/>
      <c r="B2295" s="234"/>
      <c r="C2295" s="36"/>
      <c r="D2295" s="47"/>
      <c r="E2295" s="37"/>
      <c r="F2295" s="34" t="s">
        <v>560</v>
      </c>
      <c r="G2295" s="34" t="str">
        <f t="shared" ref="G2295:G2302" si="40">IF(ISNUMBER(F2295),E2295*F2295,"")</f>
        <v/>
      </c>
      <c r="H2295" s="35"/>
      <c r="I2295" s="31"/>
      <c r="J2295" s="155">
        <v>0</v>
      </c>
    </row>
    <row r="2296" spans="1:10" ht="15" hidden="1" thickBot="1" x14ac:dyDescent="0.35">
      <c r="A2296" s="220" t="s">
        <v>749</v>
      </c>
      <c r="B2296" s="233" t="e">
        <f>INDEX(#REF!,MATCH(Composições!A2296,#REF!,0),2)</f>
        <v>#REF!</v>
      </c>
      <c r="C2296" s="41"/>
      <c r="D2296" s="26" t="e">
        <f>TRIM(INDEX(#REF!,MATCH(Composições!A2296,#REF!,0),1))</f>
        <v>#REF!</v>
      </c>
      <c r="E2296" s="27"/>
      <c r="F2296" s="42" t="s">
        <v>560</v>
      </c>
      <c r="G2296" s="28" t="str">
        <f t="shared" si="40"/>
        <v/>
      </c>
      <c r="H2296" s="29"/>
      <c r="I2296" s="30"/>
      <c r="J2296" s="155">
        <v>0</v>
      </c>
    </row>
    <row r="2297" spans="1:10" ht="15" hidden="1" thickBot="1" x14ac:dyDescent="0.35">
      <c r="A2297" s="231"/>
      <c r="B2297" s="234"/>
      <c r="C2297" s="32"/>
      <c r="D2297" s="32"/>
      <c r="E2297" s="33"/>
      <c r="F2297" s="43" t="s">
        <v>560</v>
      </c>
      <c r="G2297" s="31" t="str">
        <f t="shared" si="40"/>
        <v/>
      </c>
      <c r="H2297" s="35"/>
      <c r="I2297" s="31"/>
      <c r="J2297" s="155">
        <v>0</v>
      </c>
    </row>
    <row r="2298" spans="1:10" ht="53.4" hidden="1" thickBot="1" x14ac:dyDescent="0.35">
      <c r="A2298" s="231"/>
      <c r="B2298" s="234"/>
      <c r="C2298" s="36" t="s">
        <v>2049</v>
      </c>
      <c r="D2298" s="47" t="s">
        <v>292</v>
      </c>
      <c r="E2298" s="37">
        <v>1</v>
      </c>
      <c r="F2298" s="34">
        <v>258.15349999999995</v>
      </c>
      <c r="G2298" s="34">
        <f t="shared" si="40"/>
        <v>258.15349999999995</v>
      </c>
      <c r="H2298" s="39">
        <f>SUM(G2298:G2302)</f>
        <v>358.14082834999994</v>
      </c>
      <c r="I2298" s="40"/>
      <c r="J2298" s="155">
        <v>0</v>
      </c>
    </row>
    <row r="2299" spans="1:10" ht="15" hidden="1" thickBot="1" x14ac:dyDescent="0.35">
      <c r="A2299" s="231"/>
      <c r="B2299" s="234"/>
      <c r="C2299" s="36" t="s">
        <v>743</v>
      </c>
      <c r="D2299" s="47" t="s">
        <v>744</v>
      </c>
      <c r="E2299" s="37">
        <f>ROUND(1.678*0.8,4)</f>
        <v>1.3424</v>
      </c>
      <c r="F2299" s="31">
        <v>20.161999999999999</v>
      </c>
      <c r="G2299" s="34">
        <f t="shared" si="40"/>
        <v>27.065468799999998</v>
      </c>
      <c r="H2299" s="35"/>
      <c r="I2299" s="31"/>
      <c r="J2299" s="155">
        <v>0</v>
      </c>
    </row>
    <row r="2300" spans="1:10" ht="15" hidden="1" thickBot="1" x14ac:dyDescent="0.35">
      <c r="A2300" s="231"/>
      <c r="B2300" s="234"/>
      <c r="C2300" s="36" t="s">
        <v>745</v>
      </c>
      <c r="D2300" s="47" t="s">
        <v>744</v>
      </c>
      <c r="E2300" s="37">
        <f>ROUND(0.839*0.8,4)</f>
        <v>0.67120000000000002</v>
      </c>
      <c r="F2300" s="31">
        <v>14.968499999999999</v>
      </c>
      <c r="G2300" s="34">
        <f t="shared" si="40"/>
        <v>10.0468572</v>
      </c>
      <c r="H2300" s="35"/>
      <c r="I2300" s="31"/>
      <c r="J2300" s="155">
        <v>0</v>
      </c>
    </row>
    <row r="2301" spans="1:10" ht="15" hidden="1" thickBot="1" x14ac:dyDescent="0.35">
      <c r="A2301" s="231"/>
      <c r="B2301" s="234"/>
      <c r="C2301" s="36" t="s">
        <v>214</v>
      </c>
      <c r="D2301" s="50" t="s">
        <v>103</v>
      </c>
      <c r="E2301" s="37">
        <f>ROUND(0.108*(2*1*2.1),4)</f>
        <v>0.4536</v>
      </c>
      <c r="F2301" s="34" t="s">
        <v>560</v>
      </c>
      <c r="G2301" s="31" t="str">
        <f t="shared" si="40"/>
        <v/>
      </c>
      <c r="H2301" s="35"/>
      <c r="I2301" s="31"/>
      <c r="J2301" s="155">
        <v>0</v>
      </c>
    </row>
    <row r="2302" spans="1:10" ht="15" hidden="1" thickBot="1" x14ac:dyDescent="0.35">
      <c r="A2302" s="231"/>
      <c r="B2302" s="234"/>
      <c r="C2302" s="36" t="s">
        <v>101</v>
      </c>
      <c r="D2302" s="36" t="s">
        <v>12</v>
      </c>
      <c r="E2302" s="37">
        <f>ROUND(0.7076*(2*1*2.1),4)</f>
        <v>2.9719000000000002</v>
      </c>
      <c r="F2302" s="31">
        <v>21.156500000000001</v>
      </c>
      <c r="G2302" s="31">
        <f t="shared" si="40"/>
        <v>62.87500235000001</v>
      </c>
      <c r="H2302" s="35"/>
      <c r="I2302" s="31"/>
      <c r="J2302" s="155">
        <v>0</v>
      </c>
    </row>
    <row r="2303" spans="1:10" ht="15" hidden="1" thickBot="1" x14ac:dyDescent="0.35">
      <c r="A2303" s="231"/>
      <c r="B2303" s="234"/>
      <c r="C2303" s="36"/>
      <c r="D2303" s="36"/>
      <c r="E2303" s="37"/>
      <c r="F2303" s="31" t="s">
        <v>560</v>
      </c>
      <c r="G2303" s="31"/>
      <c r="H2303" s="35"/>
      <c r="I2303" s="31"/>
      <c r="J2303" s="155">
        <v>0</v>
      </c>
    </row>
    <row r="2304" spans="1:10" ht="15" hidden="1" thickBot="1" x14ac:dyDescent="0.35">
      <c r="A2304" s="231"/>
      <c r="B2304" s="234"/>
      <c r="C2304" s="2" t="s">
        <v>1865</v>
      </c>
      <c r="D2304" s="36"/>
      <c r="E2304" s="37"/>
      <c r="F2304" s="31" t="s">
        <v>560</v>
      </c>
      <c r="G2304" s="31"/>
      <c r="H2304" s="35"/>
      <c r="I2304" s="31"/>
      <c r="J2304" s="155">
        <v>0</v>
      </c>
    </row>
    <row r="2305" spans="1:10" ht="15" hidden="1" thickBot="1" x14ac:dyDescent="0.35">
      <c r="A2305" s="231"/>
      <c r="B2305" s="234"/>
      <c r="C2305" s="36"/>
      <c r="D2305" s="47"/>
      <c r="E2305" s="37"/>
      <c r="F2305" s="34" t="s">
        <v>560</v>
      </c>
      <c r="G2305" s="34" t="str">
        <f t="shared" ref="G2305:G2368" si="41">IF(ISNUMBER(F2305),E2305*F2305,"")</f>
        <v/>
      </c>
      <c r="H2305" s="35"/>
      <c r="I2305" s="31"/>
      <c r="J2305" s="155">
        <v>0</v>
      </c>
    </row>
    <row r="2306" spans="1:10" ht="15" hidden="1" thickBot="1" x14ac:dyDescent="0.35">
      <c r="A2306" s="220" t="s">
        <v>750</v>
      </c>
      <c r="B2306" s="233" t="e">
        <f>INDEX(#REF!,MATCH(Composições!A2306,#REF!,0),2)</f>
        <v>#REF!</v>
      </c>
      <c r="C2306" s="41"/>
      <c r="D2306" s="26" t="e">
        <f>TRIM(INDEX(#REF!,MATCH(Composições!A2306,#REF!,0),1))</f>
        <v>#REF!</v>
      </c>
      <c r="E2306" s="27"/>
      <c r="F2306" s="42" t="s">
        <v>560</v>
      </c>
      <c r="G2306" s="28" t="str">
        <f t="shared" si="41"/>
        <v/>
      </c>
      <c r="H2306" s="29"/>
      <c r="I2306" s="30"/>
      <c r="J2306" s="155">
        <v>0</v>
      </c>
    </row>
    <row r="2307" spans="1:10" ht="15" hidden="1" thickBot="1" x14ac:dyDescent="0.35">
      <c r="A2307" s="231"/>
      <c r="B2307" s="234"/>
      <c r="C2307" s="32"/>
      <c r="D2307" s="32"/>
      <c r="E2307" s="33"/>
      <c r="F2307" s="43" t="s">
        <v>560</v>
      </c>
      <c r="G2307" s="31" t="str">
        <f t="shared" si="41"/>
        <v/>
      </c>
      <c r="H2307" s="35"/>
      <c r="I2307" s="31"/>
      <c r="J2307" s="155">
        <v>0</v>
      </c>
    </row>
    <row r="2308" spans="1:10" ht="15" hidden="1" thickBot="1" x14ac:dyDescent="0.35">
      <c r="A2308" s="231"/>
      <c r="B2308" s="234"/>
      <c r="C2308" s="36" t="s">
        <v>1518</v>
      </c>
      <c r="D2308" s="47" t="s">
        <v>939</v>
      </c>
      <c r="E2308" s="37">
        <v>1.0999999999999999E-2</v>
      </c>
      <c r="F2308" s="34">
        <v>22.669499999999999</v>
      </c>
      <c r="G2308" s="31">
        <f t="shared" si="41"/>
        <v>0.24936449999999999</v>
      </c>
      <c r="H2308" s="39">
        <f>SUM(G2308:G2311)</f>
        <v>76.238557</v>
      </c>
      <c r="I2308" s="40"/>
      <c r="J2308" s="155">
        <v>0</v>
      </c>
    </row>
    <row r="2309" spans="1:10" ht="15" hidden="1" thickBot="1" x14ac:dyDescent="0.35">
      <c r="A2309" s="231"/>
      <c r="B2309" s="234"/>
      <c r="C2309" s="36" t="s">
        <v>99</v>
      </c>
      <c r="D2309" s="50" t="s">
        <v>939</v>
      </c>
      <c r="E2309" s="37">
        <v>2.4E-2</v>
      </c>
      <c r="F2309" s="34">
        <v>17.203999999999997</v>
      </c>
      <c r="G2309" s="31">
        <f t="shared" si="41"/>
        <v>0.41289599999999993</v>
      </c>
      <c r="H2309" s="35"/>
      <c r="I2309" s="31"/>
      <c r="J2309" s="155">
        <v>0</v>
      </c>
    </row>
    <row r="2310" spans="1:10" ht="15" hidden="1" thickBot="1" x14ac:dyDescent="0.35">
      <c r="A2310" s="231"/>
      <c r="B2310" s="234"/>
      <c r="C2310" s="36" t="s">
        <v>743</v>
      </c>
      <c r="D2310" s="47" t="s">
        <v>744</v>
      </c>
      <c r="E2310" s="37">
        <v>2.7410000000000001</v>
      </c>
      <c r="F2310" s="31">
        <v>20.161999999999999</v>
      </c>
      <c r="G2310" s="31">
        <f t="shared" si="41"/>
        <v>55.264041999999996</v>
      </c>
      <c r="H2310" s="35"/>
      <c r="I2310" s="31"/>
      <c r="J2310" s="155">
        <v>0</v>
      </c>
    </row>
    <row r="2311" spans="1:10" ht="15" hidden="1" thickBot="1" x14ac:dyDescent="0.35">
      <c r="A2311" s="231"/>
      <c r="B2311" s="234"/>
      <c r="C2311" s="36" t="s">
        <v>745</v>
      </c>
      <c r="D2311" s="47" t="s">
        <v>744</v>
      </c>
      <c r="E2311" s="37">
        <v>1.357</v>
      </c>
      <c r="F2311" s="31">
        <v>14.968499999999999</v>
      </c>
      <c r="G2311" s="31">
        <f t="shared" si="41"/>
        <v>20.312254499999998</v>
      </c>
      <c r="H2311" s="35"/>
      <c r="I2311" s="31"/>
      <c r="J2311" s="155">
        <v>0</v>
      </c>
    </row>
    <row r="2312" spans="1:10" ht="15" hidden="1" thickBot="1" x14ac:dyDescent="0.35">
      <c r="A2312" s="231"/>
      <c r="B2312" s="234"/>
      <c r="C2312" s="36"/>
      <c r="D2312" s="36"/>
      <c r="E2312" s="37"/>
      <c r="F2312" s="31" t="s">
        <v>560</v>
      </c>
      <c r="G2312" s="34" t="str">
        <f t="shared" si="41"/>
        <v/>
      </c>
      <c r="H2312" s="35"/>
      <c r="I2312" s="31"/>
      <c r="J2312" s="155">
        <v>0</v>
      </c>
    </row>
    <row r="2313" spans="1:10" ht="15" hidden="1" thickBot="1" x14ac:dyDescent="0.35">
      <c r="A2313" s="220" t="s">
        <v>751</v>
      </c>
      <c r="B2313" s="233" t="e">
        <f>INDEX(#REF!,MATCH(Composições!A2313,#REF!,0),2)</f>
        <v>#REF!</v>
      </c>
      <c r="C2313" s="41"/>
      <c r="D2313" s="26" t="e">
        <f>TRIM(INDEX(#REF!,MATCH(Composições!A2313,#REF!,0),1))</f>
        <v>#REF!</v>
      </c>
      <c r="E2313" s="27"/>
      <c r="F2313" s="42" t="s">
        <v>560</v>
      </c>
      <c r="G2313" s="28" t="str">
        <f t="shared" si="41"/>
        <v/>
      </c>
      <c r="H2313" s="29"/>
      <c r="I2313" s="30"/>
      <c r="J2313" s="155">
        <v>0</v>
      </c>
    </row>
    <row r="2314" spans="1:10" ht="15" hidden="1" thickBot="1" x14ac:dyDescent="0.35">
      <c r="A2314" s="231"/>
      <c r="B2314" s="234"/>
      <c r="C2314" s="32"/>
      <c r="D2314" s="32"/>
      <c r="E2314" s="33"/>
      <c r="F2314" s="43" t="s">
        <v>560</v>
      </c>
      <c r="G2314" s="34" t="str">
        <f t="shared" si="41"/>
        <v/>
      </c>
      <c r="H2314" s="35"/>
      <c r="I2314" s="31"/>
      <c r="J2314" s="155">
        <v>0</v>
      </c>
    </row>
    <row r="2315" spans="1:10" ht="27" hidden="1" thickBot="1" x14ac:dyDescent="0.35">
      <c r="A2315" s="231"/>
      <c r="B2315" s="234"/>
      <c r="C2315" s="36" t="s">
        <v>742</v>
      </c>
      <c r="D2315" s="36" t="s">
        <v>292</v>
      </c>
      <c r="E2315" s="37">
        <v>19.8</v>
      </c>
      <c r="F2315" s="31">
        <v>6.8000000000000005E-2</v>
      </c>
      <c r="G2315" s="34">
        <f t="shared" si="41"/>
        <v>1.3464</v>
      </c>
      <c r="H2315" s="39">
        <f>SUM(G2315:G2318)</f>
        <v>55.073446500000003</v>
      </c>
      <c r="I2315" s="40"/>
      <c r="J2315" s="155">
        <v>0</v>
      </c>
    </row>
    <row r="2316" spans="1:10" ht="15" hidden="1" thickBot="1" x14ac:dyDescent="0.35">
      <c r="A2316" s="231"/>
      <c r="B2316" s="234"/>
      <c r="C2316" s="36" t="s">
        <v>743</v>
      </c>
      <c r="D2316" s="36" t="s">
        <v>744</v>
      </c>
      <c r="E2316" s="37">
        <v>1.546</v>
      </c>
      <c r="F2316" s="31">
        <v>20.161999999999999</v>
      </c>
      <c r="G2316" s="34">
        <f t="shared" si="41"/>
        <v>31.170452000000001</v>
      </c>
      <c r="H2316" s="35"/>
      <c r="I2316" s="31"/>
      <c r="J2316" s="155">
        <v>0</v>
      </c>
    </row>
    <row r="2317" spans="1:10" ht="15" hidden="1" thickBot="1" x14ac:dyDescent="0.35">
      <c r="A2317" s="231"/>
      <c r="B2317" s="234"/>
      <c r="C2317" s="36" t="s">
        <v>752</v>
      </c>
      <c r="D2317" s="36" t="s">
        <v>744</v>
      </c>
      <c r="E2317" s="37">
        <v>0.221</v>
      </c>
      <c r="F2317" s="31">
        <v>20.314999999999998</v>
      </c>
      <c r="G2317" s="34">
        <f t="shared" si="41"/>
        <v>4.4896149999999997</v>
      </c>
      <c r="H2317" s="35"/>
      <c r="I2317" s="31"/>
      <c r="J2317" s="155">
        <v>0</v>
      </c>
    </row>
    <row r="2318" spans="1:10" ht="15" hidden="1" thickBot="1" x14ac:dyDescent="0.35">
      <c r="A2318" s="231"/>
      <c r="B2318" s="234"/>
      <c r="C2318" s="36" t="s">
        <v>745</v>
      </c>
      <c r="D2318" s="36" t="s">
        <v>744</v>
      </c>
      <c r="E2318" s="37">
        <v>1.2070000000000001</v>
      </c>
      <c r="F2318" s="31">
        <v>14.968499999999999</v>
      </c>
      <c r="G2318" s="34">
        <f t="shared" si="41"/>
        <v>18.066979499999999</v>
      </c>
      <c r="H2318" s="35"/>
      <c r="I2318" s="31"/>
      <c r="J2318" s="155">
        <v>0</v>
      </c>
    </row>
    <row r="2319" spans="1:10" ht="15" hidden="1" thickBot="1" x14ac:dyDescent="0.35">
      <c r="A2319" s="231"/>
      <c r="B2319" s="234"/>
      <c r="C2319" s="36"/>
      <c r="D2319" s="36"/>
      <c r="E2319" s="37"/>
      <c r="F2319" s="31" t="s">
        <v>560</v>
      </c>
      <c r="G2319" s="34" t="str">
        <f t="shared" si="41"/>
        <v/>
      </c>
      <c r="H2319" s="35"/>
      <c r="I2319" s="31"/>
      <c r="J2319" s="155">
        <v>0</v>
      </c>
    </row>
    <row r="2320" spans="1:10" ht="15" hidden="1" thickBot="1" x14ac:dyDescent="0.35">
      <c r="A2320" s="226" t="s">
        <v>753</v>
      </c>
      <c r="B2320" s="223" t="e">
        <f>INDEX(#REF!,MATCH(Composições!A2320,#REF!,0),2)</f>
        <v>#REF!</v>
      </c>
      <c r="C2320" s="41"/>
      <c r="D2320" s="26" t="e">
        <f>TRIM(INDEX(#REF!,MATCH(Composições!A2320,#REF!,0),1))</f>
        <v>#REF!</v>
      </c>
      <c r="E2320" s="27"/>
      <c r="F2320" s="42" t="s">
        <v>560</v>
      </c>
      <c r="G2320" s="28" t="str">
        <f t="shared" si="41"/>
        <v/>
      </c>
      <c r="H2320" s="29"/>
      <c r="I2320" s="30"/>
      <c r="J2320" s="155">
        <v>0</v>
      </c>
    </row>
    <row r="2321" spans="1:10" ht="15" hidden="1" thickBot="1" x14ac:dyDescent="0.35">
      <c r="A2321" s="229"/>
      <c r="B2321" s="224"/>
      <c r="C2321" s="32"/>
      <c r="D2321" s="32"/>
      <c r="E2321" s="33"/>
      <c r="F2321" s="43" t="s">
        <v>560</v>
      </c>
      <c r="G2321" s="34" t="str">
        <f t="shared" si="41"/>
        <v/>
      </c>
      <c r="H2321" s="35"/>
      <c r="I2321" s="31"/>
      <c r="J2321" s="155">
        <v>0</v>
      </c>
    </row>
    <row r="2322" spans="1:10" ht="27" hidden="1" thickBot="1" x14ac:dyDescent="0.35">
      <c r="A2322" s="229"/>
      <c r="B2322" s="224"/>
      <c r="C2322" s="36" t="s">
        <v>741</v>
      </c>
      <c r="D2322" s="47" t="s">
        <v>292</v>
      </c>
      <c r="E2322" s="37">
        <v>1</v>
      </c>
      <c r="F2322" s="34">
        <v>14.705</v>
      </c>
      <c r="G2322" s="34">
        <f t="shared" si="41"/>
        <v>14.705</v>
      </c>
      <c r="H2322" s="39">
        <f>SUM(G2322:G2324)</f>
        <v>40.028964999999999</v>
      </c>
      <c r="I2322" s="40"/>
      <c r="J2322" s="155">
        <v>0</v>
      </c>
    </row>
    <row r="2323" spans="1:10" ht="15" hidden="1" thickBot="1" x14ac:dyDescent="0.35">
      <c r="A2323" s="229"/>
      <c r="B2323" s="224"/>
      <c r="C2323" s="36" t="s">
        <v>745</v>
      </c>
      <c r="D2323" s="47" t="s">
        <v>12</v>
      </c>
      <c r="E2323" s="37">
        <v>0.45800000000000002</v>
      </c>
      <c r="F2323" s="31">
        <v>14.968499999999999</v>
      </c>
      <c r="G2323" s="34">
        <f t="shared" si="41"/>
        <v>6.8555729999999997</v>
      </c>
      <c r="H2323" s="35"/>
      <c r="I2323" s="31"/>
      <c r="J2323" s="155">
        <v>0</v>
      </c>
    </row>
    <row r="2324" spans="1:10" ht="15" hidden="1" thickBot="1" x14ac:dyDescent="0.35">
      <c r="A2324" s="229"/>
      <c r="B2324" s="224"/>
      <c r="C2324" s="36" t="s">
        <v>44</v>
      </c>
      <c r="D2324" s="47" t="s">
        <v>12</v>
      </c>
      <c r="E2324" s="37">
        <v>0.91600000000000004</v>
      </c>
      <c r="F2324" s="31">
        <v>20.161999999999999</v>
      </c>
      <c r="G2324" s="34">
        <f t="shared" si="41"/>
        <v>18.468392000000001</v>
      </c>
      <c r="H2324" s="35"/>
      <c r="I2324" s="31"/>
      <c r="J2324" s="155">
        <v>0</v>
      </c>
    </row>
    <row r="2325" spans="1:10" ht="15" hidden="1" thickBot="1" x14ac:dyDescent="0.35">
      <c r="A2325" s="230"/>
      <c r="B2325" s="225"/>
      <c r="C2325" s="36"/>
      <c r="D2325" s="36"/>
      <c r="E2325" s="37"/>
      <c r="F2325" s="31" t="s">
        <v>560</v>
      </c>
      <c r="G2325" s="34" t="str">
        <f t="shared" si="41"/>
        <v/>
      </c>
      <c r="H2325" s="35"/>
      <c r="I2325" s="31"/>
      <c r="J2325" s="155">
        <v>0</v>
      </c>
    </row>
    <row r="2326" spans="1:10" ht="15" hidden="1" thickBot="1" x14ac:dyDescent="0.35">
      <c r="A2326" s="226" t="s">
        <v>754</v>
      </c>
      <c r="B2326" s="223" t="e">
        <f>INDEX(#REF!,MATCH(Composições!A2326,#REF!,0),2)</f>
        <v>#REF!</v>
      </c>
      <c r="C2326" s="41"/>
      <c r="D2326" s="26" t="e">
        <f>TRIM(INDEX(#REF!,MATCH(Composições!A2326,#REF!,0),1))</f>
        <v>#REF!</v>
      </c>
      <c r="E2326" s="27"/>
      <c r="F2326" s="42" t="s">
        <v>560</v>
      </c>
      <c r="G2326" s="28" t="str">
        <f t="shared" si="41"/>
        <v/>
      </c>
      <c r="H2326" s="29"/>
      <c r="I2326" s="30"/>
      <c r="J2326" s="155">
        <v>0</v>
      </c>
    </row>
    <row r="2327" spans="1:10" ht="15" hidden="1" thickBot="1" x14ac:dyDescent="0.35">
      <c r="A2327" s="229"/>
      <c r="B2327" s="224"/>
      <c r="C2327" s="32"/>
      <c r="D2327" s="32"/>
      <c r="E2327" s="33"/>
      <c r="F2327" s="43" t="s">
        <v>560</v>
      </c>
      <c r="G2327" s="34" t="str">
        <f t="shared" si="41"/>
        <v/>
      </c>
      <c r="H2327" s="35"/>
      <c r="I2327" s="31"/>
      <c r="J2327" s="155">
        <v>0</v>
      </c>
    </row>
    <row r="2328" spans="1:10" ht="40.200000000000003" hidden="1" thickBot="1" x14ac:dyDescent="0.35">
      <c r="A2328" s="229"/>
      <c r="B2328" s="224"/>
      <c r="C2328" s="36" t="s">
        <v>755</v>
      </c>
      <c r="D2328" s="47" t="s">
        <v>147</v>
      </c>
      <c r="E2328" s="37">
        <v>1</v>
      </c>
      <c r="F2328" s="34" t="s">
        <v>560</v>
      </c>
      <c r="G2328" s="34" t="str">
        <f t="shared" si="41"/>
        <v/>
      </c>
      <c r="H2328" s="39">
        <f>SUM(G2328:G2330)</f>
        <v>21.212157999999999</v>
      </c>
      <c r="I2328" s="40"/>
      <c r="J2328" s="155">
        <v>0</v>
      </c>
    </row>
    <row r="2329" spans="1:10" ht="15" hidden="1" thickBot="1" x14ac:dyDescent="0.35">
      <c r="A2329" s="229"/>
      <c r="B2329" s="224"/>
      <c r="C2329" s="36" t="s">
        <v>44</v>
      </c>
      <c r="D2329" s="47" t="s">
        <v>12</v>
      </c>
      <c r="E2329" s="37">
        <v>0.76700000000000002</v>
      </c>
      <c r="F2329" s="31">
        <v>20.161999999999999</v>
      </c>
      <c r="G2329" s="34">
        <f t="shared" si="41"/>
        <v>15.464254</v>
      </c>
      <c r="H2329" s="35"/>
      <c r="I2329" s="31"/>
      <c r="J2329" s="155">
        <v>0</v>
      </c>
    </row>
    <row r="2330" spans="1:10" ht="15" hidden="1" thickBot="1" x14ac:dyDescent="0.35">
      <c r="A2330" s="229"/>
      <c r="B2330" s="224"/>
      <c r="C2330" s="36" t="s">
        <v>23</v>
      </c>
      <c r="D2330" s="47" t="s">
        <v>12</v>
      </c>
      <c r="E2330" s="37">
        <v>0.38400000000000001</v>
      </c>
      <c r="F2330" s="31">
        <v>14.968499999999999</v>
      </c>
      <c r="G2330" s="34">
        <f t="shared" si="41"/>
        <v>5.7479039999999992</v>
      </c>
      <c r="H2330" s="35"/>
      <c r="I2330" s="31"/>
      <c r="J2330" s="155">
        <v>0</v>
      </c>
    </row>
    <row r="2331" spans="1:10" ht="15" hidden="1" thickBot="1" x14ac:dyDescent="0.35">
      <c r="A2331" s="230"/>
      <c r="B2331" s="225"/>
      <c r="C2331" s="36"/>
      <c r="D2331" s="36"/>
      <c r="E2331" s="37"/>
      <c r="F2331" s="31" t="s">
        <v>560</v>
      </c>
      <c r="G2331" s="34" t="str">
        <f t="shared" si="41"/>
        <v/>
      </c>
      <c r="H2331" s="35"/>
      <c r="I2331" s="31"/>
      <c r="J2331" s="155">
        <v>0</v>
      </c>
    </row>
    <row r="2332" spans="1:10" ht="15" hidden="1" thickBot="1" x14ac:dyDescent="0.35">
      <c r="A2332" s="226" t="s">
        <v>756</v>
      </c>
      <c r="B2332" s="223" t="e">
        <f>INDEX(#REF!,MATCH(Composições!A2332,#REF!,0),2)</f>
        <v>#REF!</v>
      </c>
      <c r="C2332" s="41"/>
      <c r="D2332" s="26" t="e">
        <f>TRIM(INDEX(#REF!,MATCH(Composições!A2332,#REF!,0),1))</f>
        <v>#REF!</v>
      </c>
      <c r="E2332" s="27"/>
      <c r="F2332" s="42" t="s">
        <v>560</v>
      </c>
      <c r="G2332" s="28" t="str">
        <f t="shared" si="41"/>
        <v/>
      </c>
      <c r="H2332" s="29"/>
      <c r="I2332" s="30"/>
      <c r="J2332" s="155">
        <v>0</v>
      </c>
    </row>
    <row r="2333" spans="1:10" ht="15" hidden="1" thickBot="1" x14ac:dyDescent="0.35">
      <c r="A2333" s="229"/>
      <c r="B2333" s="224"/>
      <c r="C2333" s="32"/>
      <c r="D2333" s="32"/>
      <c r="E2333" s="33"/>
      <c r="F2333" s="43" t="s">
        <v>560</v>
      </c>
      <c r="G2333" s="34" t="str">
        <f t="shared" si="41"/>
        <v/>
      </c>
      <c r="H2333" s="35"/>
      <c r="I2333" s="31"/>
      <c r="J2333" s="155">
        <v>0</v>
      </c>
    </row>
    <row r="2334" spans="1:10" ht="40.200000000000003" hidden="1" thickBot="1" x14ac:dyDescent="0.35">
      <c r="A2334" s="229"/>
      <c r="B2334" s="224"/>
      <c r="C2334" s="36" t="s">
        <v>757</v>
      </c>
      <c r="D2334" s="47" t="s">
        <v>147</v>
      </c>
      <c r="E2334" s="37">
        <v>1</v>
      </c>
      <c r="F2334" s="34" t="s">
        <v>560</v>
      </c>
      <c r="G2334" s="34" t="str">
        <f t="shared" si="41"/>
        <v/>
      </c>
      <c r="H2334" s="39">
        <f>SUM(G2334:G2336)</f>
        <v>27.701542500000002</v>
      </c>
      <c r="I2334" s="40"/>
      <c r="J2334" s="155">
        <v>0</v>
      </c>
    </row>
    <row r="2335" spans="1:10" ht="15" hidden="1" thickBot="1" x14ac:dyDescent="0.35">
      <c r="A2335" s="229"/>
      <c r="B2335" s="224"/>
      <c r="C2335" s="36" t="s">
        <v>44</v>
      </c>
      <c r="D2335" s="47" t="s">
        <v>12</v>
      </c>
      <c r="E2335" s="37">
        <v>1.002</v>
      </c>
      <c r="F2335" s="31">
        <v>20.161999999999999</v>
      </c>
      <c r="G2335" s="34">
        <f t="shared" si="41"/>
        <v>20.202324000000001</v>
      </c>
      <c r="H2335" s="35"/>
      <c r="I2335" s="31"/>
      <c r="J2335" s="155">
        <v>0</v>
      </c>
    </row>
    <row r="2336" spans="1:10" ht="15" hidden="1" thickBot="1" x14ac:dyDescent="0.35">
      <c r="A2336" s="229"/>
      <c r="B2336" s="224"/>
      <c r="C2336" s="36" t="s">
        <v>23</v>
      </c>
      <c r="D2336" s="47" t="s">
        <v>12</v>
      </c>
      <c r="E2336" s="37">
        <v>0.501</v>
      </c>
      <c r="F2336" s="31">
        <v>14.968499999999999</v>
      </c>
      <c r="G2336" s="34">
        <f t="shared" si="41"/>
        <v>7.4992184999999996</v>
      </c>
      <c r="H2336" s="35"/>
      <c r="I2336" s="31"/>
      <c r="J2336" s="155">
        <v>0</v>
      </c>
    </row>
    <row r="2337" spans="1:10" ht="15" hidden="1" thickBot="1" x14ac:dyDescent="0.35">
      <c r="A2337" s="230"/>
      <c r="B2337" s="225"/>
      <c r="C2337" s="36"/>
      <c r="D2337" s="36"/>
      <c r="E2337" s="37"/>
      <c r="F2337" s="31" t="s">
        <v>560</v>
      </c>
      <c r="G2337" s="34" t="str">
        <f t="shared" si="41"/>
        <v/>
      </c>
      <c r="H2337" s="35"/>
      <c r="I2337" s="31"/>
      <c r="J2337" s="155">
        <v>0</v>
      </c>
    </row>
    <row r="2338" spans="1:10" ht="15" hidden="1" thickBot="1" x14ac:dyDescent="0.35">
      <c r="A2338" s="226" t="s">
        <v>758</v>
      </c>
      <c r="B2338" s="223" t="e">
        <f>INDEX(#REF!,MATCH(Composições!A2338,#REF!,0),2)</f>
        <v>#REF!</v>
      </c>
      <c r="C2338" s="41"/>
      <c r="D2338" s="26" t="e">
        <f>TRIM(INDEX(#REF!,MATCH(Composições!A2338,#REF!,0),1))</f>
        <v>#REF!</v>
      </c>
      <c r="E2338" s="27"/>
      <c r="F2338" s="42" t="s">
        <v>560</v>
      </c>
      <c r="G2338" s="28" t="str">
        <f t="shared" si="41"/>
        <v/>
      </c>
      <c r="H2338" s="29"/>
      <c r="I2338" s="30"/>
      <c r="J2338" s="155">
        <v>0</v>
      </c>
    </row>
    <row r="2339" spans="1:10" ht="15" hidden="1" thickBot="1" x14ac:dyDescent="0.35">
      <c r="A2339" s="229"/>
      <c r="B2339" s="224"/>
      <c r="C2339" s="32"/>
      <c r="D2339" s="32"/>
      <c r="E2339" s="33"/>
      <c r="F2339" s="43" t="s">
        <v>560</v>
      </c>
      <c r="G2339" s="34" t="str">
        <f t="shared" si="41"/>
        <v/>
      </c>
      <c r="H2339" s="35"/>
      <c r="I2339" s="31"/>
      <c r="J2339" s="155">
        <v>0</v>
      </c>
    </row>
    <row r="2340" spans="1:10" ht="40.200000000000003" hidden="1" thickBot="1" x14ac:dyDescent="0.35">
      <c r="A2340" s="229"/>
      <c r="B2340" s="224"/>
      <c r="C2340" s="36" t="s">
        <v>759</v>
      </c>
      <c r="D2340" s="47" t="s">
        <v>147</v>
      </c>
      <c r="E2340" s="37">
        <v>1</v>
      </c>
      <c r="F2340" s="34" t="s">
        <v>560</v>
      </c>
      <c r="G2340" s="34" t="str">
        <f t="shared" si="41"/>
        <v/>
      </c>
      <c r="H2340" s="39">
        <f>SUM(G2340:G2342)</f>
        <v>27.701542500000002</v>
      </c>
      <c r="I2340" s="40"/>
      <c r="J2340" s="155">
        <v>0</v>
      </c>
    </row>
    <row r="2341" spans="1:10" ht="15" hidden="1" thickBot="1" x14ac:dyDescent="0.35">
      <c r="A2341" s="229"/>
      <c r="B2341" s="224"/>
      <c r="C2341" s="36" t="s">
        <v>44</v>
      </c>
      <c r="D2341" s="47" t="s">
        <v>12</v>
      </c>
      <c r="E2341" s="37">
        <v>1.002</v>
      </c>
      <c r="F2341" s="31">
        <v>20.161999999999999</v>
      </c>
      <c r="G2341" s="34">
        <f t="shared" si="41"/>
        <v>20.202324000000001</v>
      </c>
      <c r="H2341" s="35"/>
      <c r="I2341" s="31"/>
      <c r="J2341" s="155">
        <v>0</v>
      </c>
    </row>
    <row r="2342" spans="1:10" ht="15" hidden="1" thickBot="1" x14ac:dyDescent="0.35">
      <c r="A2342" s="229"/>
      <c r="B2342" s="224"/>
      <c r="C2342" s="36" t="s">
        <v>23</v>
      </c>
      <c r="D2342" s="47" t="s">
        <v>12</v>
      </c>
      <c r="E2342" s="37">
        <v>0.501</v>
      </c>
      <c r="F2342" s="31">
        <v>14.968499999999999</v>
      </c>
      <c r="G2342" s="34">
        <f t="shared" si="41"/>
        <v>7.4992184999999996</v>
      </c>
      <c r="H2342" s="35"/>
      <c r="I2342" s="31"/>
      <c r="J2342" s="155">
        <v>0</v>
      </c>
    </row>
    <row r="2343" spans="1:10" ht="15" hidden="1" thickBot="1" x14ac:dyDescent="0.35">
      <c r="A2343" s="230"/>
      <c r="B2343" s="225"/>
      <c r="C2343" s="36"/>
      <c r="D2343" s="36"/>
      <c r="E2343" s="37"/>
      <c r="F2343" s="31" t="s">
        <v>560</v>
      </c>
      <c r="G2343" s="34" t="str">
        <f t="shared" si="41"/>
        <v/>
      </c>
      <c r="H2343" s="35"/>
      <c r="I2343" s="31"/>
      <c r="J2343" s="155">
        <v>0</v>
      </c>
    </row>
    <row r="2344" spans="1:10" ht="15" hidden="1" thickBot="1" x14ac:dyDescent="0.35">
      <c r="A2344" s="226" t="s">
        <v>760</v>
      </c>
      <c r="B2344" s="223" t="e">
        <f>INDEX(#REF!,MATCH(Composições!A2344,#REF!,0),2)</f>
        <v>#REF!</v>
      </c>
      <c r="C2344" s="41"/>
      <c r="D2344" s="26" t="e">
        <f>TRIM(INDEX(#REF!,MATCH(Composições!A2344,#REF!,0),1))</f>
        <v>#REF!</v>
      </c>
      <c r="E2344" s="27"/>
      <c r="F2344" s="42" t="s">
        <v>560</v>
      </c>
      <c r="G2344" s="28" t="str">
        <f t="shared" si="41"/>
        <v/>
      </c>
      <c r="H2344" s="29"/>
      <c r="I2344" s="30"/>
      <c r="J2344" s="155">
        <v>0</v>
      </c>
    </row>
    <row r="2345" spans="1:10" ht="15" hidden="1" thickBot="1" x14ac:dyDescent="0.35">
      <c r="A2345" s="229"/>
      <c r="B2345" s="224"/>
      <c r="C2345" s="32"/>
      <c r="D2345" s="32"/>
      <c r="E2345" s="33"/>
      <c r="F2345" s="43" t="s">
        <v>560</v>
      </c>
      <c r="G2345" s="34" t="str">
        <f t="shared" si="41"/>
        <v/>
      </c>
      <c r="H2345" s="35"/>
      <c r="I2345" s="31"/>
      <c r="J2345" s="155">
        <v>0</v>
      </c>
    </row>
    <row r="2346" spans="1:10" ht="15" hidden="1" thickBot="1" x14ac:dyDescent="0.35">
      <c r="A2346" s="229"/>
      <c r="B2346" s="224"/>
      <c r="C2346" s="36" t="s">
        <v>44</v>
      </c>
      <c r="D2346" s="36" t="s">
        <v>12</v>
      </c>
      <c r="E2346" s="37">
        <v>1.002</v>
      </c>
      <c r="F2346" s="31">
        <v>20.161999999999999</v>
      </c>
      <c r="G2346" s="34">
        <f t="shared" si="41"/>
        <v>20.202324000000001</v>
      </c>
      <c r="H2346" s="39">
        <f>SUM(G2346:G2347)</f>
        <v>27.701542500000002</v>
      </c>
      <c r="I2346" s="40"/>
      <c r="J2346" s="155">
        <v>0</v>
      </c>
    </row>
    <row r="2347" spans="1:10" ht="15" hidden="1" thickBot="1" x14ac:dyDescent="0.35">
      <c r="A2347" s="229"/>
      <c r="B2347" s="224"/>
      <c r="C2347" s="36" t="s">
        <v>23</v>
      </c>
      <c r="D2347" s="36" t="s">
        <v>12</v>
      </c>
      <c r="E2347" s="37">
        <v>0.501</v>
      </c>
      <c r="F2347" s="31">
        <v>14.968499999999999</v>
      </c>
      <c r="G2347" s="34">
        <f t="shared" si="41"/>
        <v>7.4992184999999996</v>
      </c>
      <c r="H2347" s="35"/>
      <c r="I2347" s="31"/>
      <c r="J2347" s="155">
        <v>0</v>
      </c>
    </row>
    <row r="2348" spans="1:10" ht="15" hidden="1" thickBot="1" x14ac:dyDescent="0.35">
      <c r="A2348" s="230"/>
      <c r="B2348" s="225"/>
      <c r="C2348" s="36"/>
      <c r="D2348" s="36"/>
      <c r="E2348" s="37"/>
      <c r="F2348" s="31" t="s">
        <v>560</v>
      </c>
      <c r="G2348" s="34" t="str">
        <f t="shared" si="41"/>
        <v/>
      </c>
      <c r="H2348" s="35"/>
      <c r="I2348" s="31"/>
      <c r="J2348" s="155">
        <v>0</v>
      </c>
    </row>
    <row r="2349" spans="1:10" ht="15" hidden="1" thickBot="1" x14ac:dyDescent="0.35">
      <c r="A2349" s="226" t="s">
        <v>761</v>
      </c>
      <c r="B2349" s="223" t="e">
        <f>INDEX(#REF!,MATCH(Composições!A2349,#REF!,0),2)</f>
        <v>#REF!</v>
      </c>
      <c r="C2349" s="41"/>
      <c r="D2349" s="26" t="e">
        <f>TRIM(INDEX(#REF!,MATCH(Composições!A2349,#REF!,0),1))</f>
        <v>#REF!</v>
      </c>
      <c r="E2349" s="27"/>
      <c r="F2349" s="42" t="s">
        <v>560</v>
      </c>
      <c r="G2349" s="28" t="str">
        <f t="shared" si="41"/>
        <v/>
      </c>
      <c r="H2349" s="29"/>
      <c r="I2349" s="30"/>
      <c r="J2349" s="155">
        <v>0</v>
      </c>
    </row>
    <row r="2350" spans="1:10" ht="15" hidden="1" thickBot="1" x14ac:dyDescent="0.35">
      <c r="A2350" s="229"/>
      <c r="B2350" s="224"/>
      <c r="C2350" s="32"/>
      <c r="D2350" s="32"/>
      <c r="E2350" s="33"/>
      <c r="F2350" s="43" t="s">
        <v>560</v>
      </c>
      <c r="G2350" s="34" t="str">
        <f t="shared" si="41"/>
        <v/>
      </c>
      <c r="H2350" s="35"/>
      <c r="I2350" s="31"/>
      <c r="J2350" s="155">
        <v>0</v>
      </c>
    </row>
    <row r="2351" spans="1:10" ht="15" hidden="1" thickBot="1" x14ac:dyDescent="0.35">
      <c r="A2351" s="229"/>
      <c r="B2351" s="224"/>
      <c r="C2351" s="36" t="s">
        <v>645</v>
      </c>
      <c r="D2351" s="36" t="s">
        <v>12</v>
      </c>
      <c r="E2351" s="37">
        <v>1</v>
      </c>
      <c r="F2351" s="31">
        <v>20.484999999999999</v>
      </c>
      <c r="G2351" s="34">
        <f t="shared" si="41"/>
        <v>20.484999999999999</v>
      </c>
      <c r="H2351" s="39">
        <f>SUM(G2351:G2352)</f>
        <v>20.484999999999999</v>
      </c>
      <c r="I2351" s="40"/>
      <c r="J2351" s="155">
        <v>0</v>
      </c>
    </row>
    <row r="2352" spans="1:10" ht="27" hidden="1" thickBot="1" x14ac:dyDescent="0.35">
      <c r="A2352" s="229"/>
      <c r="B2352" s="224"/>
      <c r="C2352" s="36" t="s">
        <v>762</v>
      </c>
      <c r="D2352" s="36" t="s">
        <v>20</v>
      </c>
      <c r="E2352" s="37">
        <v>1</v>
      </c>
      <c r="F2352" s="34" t="s">
        <v>560</v>
      </c>
      <c r="G2352" s="34" t="str">
        <f t="shared" si="41"/>
        <v/>
      </c>
      <c r="H2352" s="35"/>
      <c r="I2352" s="31"/>
      <c r="J2352" s="155">
        <v>0</v>
      </c>
    </row>
    <row r="2353" spans="1:10" ht="15" hidden="1" thickBot="1" x14ac:dyDescent="0.35">
      <c r="A2353" s="230"/>
      <c r="B2353" s="225"/>
      <c r="C2353" s="36"/>
      <c r="D2353" s="36"/>
      <c r="E2353" s="37"/>
      <c r="F2353" s="31" t="s">
        <v>560</v>
      </c>
      <c r="G2353" s="34" t="str">
        <f t="shared" si="41"/>
        <v/>
      </c>
      <c r="H2353" s="35"/>
      <c r="I2353" s="31"/>
      <c r="J2353" s="155">
        <v>0</v>
      </c>
    </row>
    <row r="2354" spans="1:10" ht="15" hidden="1" thickBot="1" x14ac:dyDescent="0.35">
      <c r="A2354" s="226" t="s">
        <v>763</v>
      </c>
      <c r="B2354" s="223" t="e">
        <f>INDEX(#REF!,MATCH(Composições!A2354,#REF!,0),2)</f>
        <v>#REF!</v>
      </c>
      <c r="C2354" s="41"/>
      <c r="D2354" s="26" t="e">
        <f>TRIM(INDEX(#REF!,MATCH(Composições!A2354,#REF!,0),1))</f>
        <v>#REF!</v>
      </c>
      <c r="E2354" s="27"/>
      <c r="F2354" s="42" t="s">
        <v>560</v>
      </c>
      <c r="G2354" s="28" t="str">
        <f t="shared" si="41"/>
        <v/>
      </c>
      <c r="H2354" s="29"/>
      <c r="I2354" s="30"/>
      <c r="J2354" s="155">
        <v>0</v>
      </c>
    </row>
    <row r="2355" spans="1:10" ht="15" hidden="1" thickBot="1" x14ac:dyDescent="0.35">
      <c r="A2355" s="229"/>
      <c r="B2355" s="224"/>
      <c r="C2355" s="32"/>
      <c r="D2355" s="32"/>
      <c r="E2355" s="33"/>
      <c r="F2355" s="43" t="s">
        <v>560</v>
      </c>
      <c r="G2355" s="34" t="str">
        <f t="shared" si="41"/>
        <v/>
      </c>
      <c r="H2355" s="35"/>
      <c r="I2355" s="31"/>
      <c r="J2355" s="155">
        <v>0</v>
      </c>
    </row>
    <row r="2356" spans="1:10" ht="15" hidden="1" thickBot="1" x14ac:dyDescent="0.35">
      <c r="A2356" s="229"/>
      <c r="B2356" s="224"/>
      <c r="C2356" s="36" t="s">
        <v>645</v>
      </c>
      <c r="D2356" s="36" t="s">
        <v>12</v>
      </c>
      <c r="E2356" s="37">
        <f>1/2</f>
        <v>0.5</v>
      </c>
      <c r="F2356" s="31">
        <v>20.484999999999999</v>
      </c>
      <c r="G2356" s="34">
        <f t="shared" si="41"/>
        <v>10.2425</v>
      </c>
      <c r="H2356" s="39">
        <f>SUM(G2356:G2357)</f>
        <v>10.2425</v>
      </c>
      <c r="I2356" s="40"/>
      <c r="J2356" s="155">
        <v>0</v>
      </c>
    </row>
    <row r="2357" spans="1:10" ht="40.200000000000003" hidden="1" thickBot="1" x14ac:dyDescent="0.35">
      <c r="A2357" s="229"/>
      <c r="B2357" s="224"/>
      <c r="C2357" s="36" t="s">
        <v>764</v>
      </c>
      <c r="D2357" s="36" t="s">
        <v>20</v>
      </c>
      <c r="E2357" s="37">
        <v>1</v>
      </c>
      <c r="F2357" s="34" t="s">
        <v>560</v>
      </c>
      <c r="G2357" s="34" t="str">
        <f t="shared" si="41"/>
        <v/>
      </c>
      <c r="H2357" s="35"/>
      <c r="I2357" s="31"/>
      <c r="J2357" s="155">
        <v>0</v>
      </c>
    </row>
    <row r="2358" spans="1:10" ht="15" hidden="1" thickBot="1" x14ac:dyDescent="0.35">
      <c r="A2358" s="230"/>
      <c r="B2358" s="225"/>
      <c r="C2358" s="36"/>
      <c r="D2358" s="36"/>
      <c r="E2358" s="37"/>
      <c r="F2358" s="31" t="s">
        <v>560</v>
      </c>
      <c r="G2358" s="34" t="str">
        <f t="shared" si="41"/>
        <v/>
      </c>
      <c r="H2358" s="35"/>
      <c r="I2358" s="31"/>
      <c r="J2358" s="155">
        <v>0</v>
      </c>
    </row>
    <row r="2359" spans="1:10" ht="15" hidden="1" thickBot="1" x14ac:dyDescent="0.35">
      <c r="A2359" s="226" t="s">
        <v>765</v>
      </c>
      <c r="B2359" s="223" t="e">
        <f>INDEX(#REF!,MATCH(Composições!A2359,#REF!,0),2)</f>
        <v>#REF!</v>
      </c>
      <c r="C2359" s="41"/>
      <c r="D2359" s="26" t="e">
        <f>TRIM(INDEX(#REF!,MATCH(Composições!A2359,#REF!,0),1))</f>
        <v>#REF!</v>
      </c>
      <c r="E2359" s="27"/>
      <c r="F2359" s="42" t="s">
        <v>560</v>
      </c>
      <c r="G2359" s="28" t="str">
        <f t="shared" si="41"/>
        <v/>
      </c>
      <c r="H2359" s="29"/>
      <c r="I2359" s="30"/>
      <c r="J2359" s="155">
        <v>0</v>
      </c>
    </row>
    <row r="2360" spans="1:10" ht="15" hidden="1" thickBot="1" x14ac:dyDescent="0.35">
      <c r="A2360" s="229"/>
      <c r="B2360" s="224"/>
      <c r="C2360" s="32"/>
      <c r="D2360" s="32"/>
      <c r="E2360" s="33"/>
      <c r="F2360" s="43" t="s">
        <v>560</v>
      </c>
      <c r="G2360" s="34" t="str">
        <f t="shared" si="41"/>
        <v/>
      </c>
      <c r="H2360" s="35"/>
      <c r="I2360" s="31"/>
      <c r="J2360" s="155">
        <v>0</v>
      </c>
    </row>
    <row r="2361" spans="1:10" ht="15" hidden="1" thickBot="1" x14ac:dyDescent="0.35">
      <c r="A2361" s="229"/>
      <c r="B2361" s="224"/>
      <c r="C2361" s="36" t="s">
        <v>74</v>
      </c>
      <c r="D2361" s="36" t="s">
        <v>12</v>
      </c>
      <c r="E2361" s="37">
        <v>2.8E-3</v>
      </c>
      <c r="F2361" s="31">
        <v>15.928999999999998</v>
      </c>
      <c r="G2361" s="34">
        <f t="shared" si="41"/>
        <v>4.4601199999999994E-2</v>
      </c>
      <c r="H2361" s="39">
        <f>SUM(G2361:G2363)</f>
        <v>0.1019592</v>
      </c>
      <c r="I2361" s="40"/>
      <c r="J2361" s="155">
        <v>0</v>
      </c>
    </row>
    <row r="2362" spans="1:10" ht="15" hidden="1" thickBot="1" x14ac:dyDescent="0.35">
      <c r="A2362" s="229"/>
      <c r="B2362" s="224"/>
      <c r="C2362" s="36" t="s">
        <v>30</v>
      </c>
      <c r="D2362" s="36" t="s">
        <v>12</v>
      </c>
      <c r="E2362" s="37">
        <v>2.8E-3</v>
      </c>
      <c r="F2362" s="31">
        <v>20.484999999999999</v>
      </c>
      <c r="G2362" s="34">
        <f t="shared" si="41"/>
        <v>5.7357999999999999E-2</v>
      </c>
      <c r="H2362" s="35"/>
      <c r="I2362" s="31"/>
      <c r="J2362" s="155">
        <v>0</v>
      </c>
    </row>
    <row r="2363" spans="1:10" ht="27" hidden="1" thickBot="1" x14ac:dyDescent="0.35">
      <c r="A2363" s="229"/>
      <c r="B2363" s="224"/>
      <c r="C2363" s="36" t="s">
        <v>766</v>
      </c>
      <c r="D2363" s="36" t="s">
        <v>93</v>
      </c>
      <c r="E2363" s="37">
        <v>1.05</v>
      </c>
      <c r="F2363" s="34" t="s">
        <v>560</v>
      </c>
      <c r="G2363" s="34" t="str">
        <f t="shared" si="41"/>
        <v/>
      </c>
      <c r="H2363" s="35"/>
      <c r="I2363" s="31"/>
      <c r="J2363" s="155">
        <v>0</v>
      </c>
    </row>
    <row r="2364" spans="1:10" ht="15" hidden="1" thickBot="1" x14ac:dyDescent="0.35">
      <c r="A2364" s="230"/>
      <c r="B2364" s="225"/>
      <c r="C2364" s="36"/>
      <c r="D2364" s="36"/>
      <c r="E2364" s="37"/>
      <c r="F2364" s="31" t="s">
        <v>560</v>
      </c>
      <c r="G2364" s="34" t="str">
        <f t="shared" si="41"/>
        <v/>
      </c>
      <c r="H2364" s="35"/>
      <c r="I2364" s="31"/>
      <c r="J2364" s="155">
        <v>0</v>
      </c>
    </row>
    <row r="2365" spans="1:10" ht="15" hidden="1" thickBot="1" x14ac:dyDescent="0.35">
      <c r="A2365" s="226" t="s">
        <v>767</v>
      </c>
      <c r="B2365" s="223" t="e">
        <f>INDEX(#REF!,MATCH(Composições!A2365,#REF!,0),2)</f>
        <v>#REF!</v>
      </c>
      <c r="C2365" s="41"/>
      <c r="D2365" s="26" t="e">
        <f>TRIM(INDEX(#REF!,MATCH(Composições!A2365,#REF!,0),1))</f>
        <v>#REF!</v>
      </c>
      <c r="E2365" s="27"/>
      <c r="F2365" s="42" t="s">
        <v>560</v>
      </c>
      <c r="G2365" s="28" t="str">
        <f t="shared" si="41"/>
        <v/>
      </c>
      <c r="H2365" s="29"/>
      <c r="I2365" s="30"/>
      <c r="J2365" s="155">
        <v>0</v>
      </c>
    </row>
    <row r="2366" spans="1:10" ht="15" hidden="1" thickBot="1" x14ac:dyDescent="0.35">
      <c r="A2366" s="229"/>
      <c r="B2366" s="224"/>
      <c r="C2366" s="32"/>
      <c r="D2366" s="32"/>
      <c r="E2366" s="33"/>
      <c r="F2366" s="43" t="s">
        <v>560</v>
      </c>
      <c r="G2366" s="34" t="str">
        <f t="shared" si="41"/>
        <v/>
      </c>
      <c r="H2366" s="35"/>
      <c r="I2366" s="31"/>
      <c r="J2366" s="155">
        <v>0</v>
      </c>
    </row>
    <row r="2367" spans="1:10" ht="27" hidden="1" thickBot="1" x14ac:dyDescent="0.35">
      <c r="A2367" s="229"/>
      <c r="B2367" s="224"/>
      <c r="C2367" s="36" t="s">
        <v>768</v>
      </c>
      <c r="D2367" s="36" t="s">
        <v>147</v>
      </c>
      <c r="E2367" s="37">
        <v>1</v>
      </c>
      <c r="F2367" s="34" t="s">
        <v>560</v>
      </c>
      <c r="G2367" s="34" t="str">
        <f t="shared" si="41"/>
        <v/>
      </c>
      <c r="H2367" s="39">
        <f>SUM(G2367:G2371)</f>
        <v>15.017133599999998</v>
      </c>
      <c r="I2367" s="40"/>
      <c r="J2367" s="155">
        <v>0</v>
      </c>
    </row>
    <row r="2368" spans="1:10" ht="15" hidden="1" thickBot="1" x14ac:dyDescent="0.35">
      <c r="A2368" s="229"/>
      <c r="B2368" s="224"/>
      <c r="C2368" s="36" t="s">
        <v>769</v>
      </c>
      <c r="D2368" s="36" t="s">
        <v>147</v>
      </c>
      <c r="E2368" s="37">
        <v>1</v>
      </c>
      <c r="F2368" s="34" t="s">
        <v>560</v>
      </c>
      <c r="G2368" s="34" t="str">
        <f t="shared" si="41"/>
        <v/>
      </c>
      <c r="H2368" s="35"/>
      <c r="I2368" s="31"/>
      <c r="J2368" s="155">
        <v>0</v>
      </c>
    </row>
    <row r="2369" spans="1:10" ht="15" hidden="1" thickBot="1" x14ac:dyDescent="0.35">
      <c r="A2369" s="229"/>
      <c r="B2369" s="224"/>
      <c r="C2369" s="36" t="s">
        <v>770</v>
      </c>
      <c r="D2369" s="36" t="s">
        <v>147</v>
      </c>
      <c r="E2369" s="37">
        <v>1</v>
      </c>
      <c r="F2369" s="34" t="s">
        <v>560</v>
      </c>
      <c r="G2369" s="34" t="str">
        <f t="shared" ref="G2369:G2432" si="42">IF(ISNUMBER(F2369),E2369*F2369,"")</f>
        <v/>
      </c>
      <c r="H2369" s="35"/>
      <c r="I2369" s="31"/>
      <c r="J2369" s="155">
        <v>0</v>
      </c>
    </row>
    <row r="2370" spans="1:10" ht="15" hidden="1" thickBot="1" x14ac:dyDescent="0.35">
      <c r="A2370" s="229"/>
      <c r="B2370" s="224"/>
      <c r="C2370" s="36" t="s">
        <v>74</v>
      </c>
      <c r="D2370" s="47" t="s">
        <v>12</v>
      </c>
      <c r="E2370" s="37">
        <f>0.2062*2</f>
        <v>0.41239999999999999</v>
      </c>
      <c r="F2370" s="31">
        <v>15.928999999999998</v>
      </c>
      <c r="G2370" s="34">
        <f t="shared" si="42"/>
        <v>6.5691195999999996</v>
      </c>
      <c r="H2370" s="35"/>
      <c r="I2370" s="31"/>
      <c r="J2370" s="155">
        <v>0</v>
      </c>
    </row>
    <row r="2371" spans="1:10" ht="15" hidden="1" thickBot="1" x14ac:dyDescent="0.35">
      <c r="A2371" s="229"/>
      <c r="B2371" s="224"/>
      <c r="C2371" s="36" t="s">
        <v>30</v>
      </c>
      <c r="D2371" s="36" t="s">
        <v>12</v>
      </c>
      <c r="E2371" s="37">
        <f>0.2062*2</f>
        <v>0.41239999999999999</v>
      </c>
      <c r="F2371" s="31">
        <v>20.484999999999999</v>
      </c>
      <c r="G2371" s="34">
        <f t="shared" si="42"/>
        <v>8.4480139999999988</v>
      </c>
      <c r="H2371" s="35"/>
      <c r="I2371" s="31"/>
      <c r="J2371" s="155">
        <v>0</v>
      </c>
    </row>
    <row r="2372" spans="1:10" ht="15" hidden="1" thickBot="1" x14ac:dyDescent="0.35">
      <c r="A2372" s="230"/>
      <c r="B2372" s="225"/>
      <c r="C2372" s="36"/>
      <c r="D2372" s="36"/>
      <c r="E2372" s="37"/>
      <c r="F2372" s="31" t="s">
        <v>560</v>
      </c>
      <c r="G2372" s="34" t="str">
        <f t="shared" si="42"/>
        <v/>
      </c>
      <c r="H2372" s="35"/>
      <c r="I2372" s="31"/>
      <c r="J2372" s="155">
        <v>0</v>
      </c>
    </row>
    <row r="2373" spans="1:10" ht="15" hidden="1" thickBot="1" x14ac:dyDescent="0.35">
      <c r="A2373" s="226" t="s">
        <v>771</v>
      </c>
      <c r="B2373" s="223" t="e">
        <f>INDEX(#REF!,MATCH(Composições!A2373,#REF!,0),2)</f>
        <v>#REF!</v>
      </c>
      <c r="C2373" s="41"/>
      <c r="D2373" s="26" t="e">
        <f>TRIM(INDEX(#REF!,MATCH(Composições!A2373,#REF!,0),1))</f>
        <v>#REF!</v>
      </c>
      <c r="E2373" s="27"/>
      <c r="F2373" s="42" t="s">
        <v>560</v>
      </c>
      <c r="G2373" s="28" t="str">
        <f t="shared" si="42"/>
        <v/>
      </c>
      <c r="H2373" s="29"/>
      <c r="I2373" s="30"/>
      <c r="J2373" s="155">
        <v>0</v>
      </c>
    </row>
    <row r="2374" spans="1:10" ht="15" hidden="1" thickBot="1" x14ac:dyDescent="0.35">
      <c r="A2374" s="229"/>
      <c r="B2374" s="224"/>
      <c r="C2374" s="32"/>
      <c r="D2374" s="32"/>
      <c r="E2374" s="33"/>
      <c r="F2374" s="43" t="s">
        <v>560</v>
      </c>
      <c r="G2374" s="34" t="str">
        <f t="shared" si="42"/>
        <v/>
      </c>
      <c r="H2374" s="35"/>
      <c r="I2374" s="31"/>
      <c r="J2374" s="155">
        <v>0</v>
      </c>
    </row>
    <row r="2375" spans="1:10" ht="15" hidden="1" thickBot="1" x14ac:dyDescent="0.35">
      <c r="A2375" s="229"/>
      <c r="B2375" s="224"/>
      <c r="C2375" s="36" t="s">
        <v>74</v>
      </c>
      <c r="D2375" s="47" t="s">
        <v>12</v>
      </c>
      <c r="E2375" s="37">
        <f>6.2007</f>
        <v>6.2007000000000003</v>
      </c>
      <c r="F2375" s="31">
        <v>15.928999999999998</v>
      </c>
      <c r="G2375" s="34">
        <f t="shared" si="42"/>
        <v>98.770950299999996</v>
      </c>
      <c r="H2375" s="39">
        <f>SUM(G2375:G2378)</f>
        <v>225.79228979999999</v>
      </c>
      <c r="I2375" s="40"/>
      <c r="J2375" s="155">
        <v>0</v>
      </c>
    </row>
    <row r="2376" spans="1:10" ht="15" hidden="1" thickBot="1" x14ac:dyDescent="0.35">
      <c r="A2376" s="229"/>
      <c r="B2376" s="224"/>
      <c r="C2376" s="36" t="s">
        <v>30</v>
      </c>
      <c r="D2376" s="36" t="s">
        <v>12</v>
      </c>
      <c r="E2376" s="37">
        <f>6.2007</f>
        <v>6.2007000000000003</v>
      </c>
      <c r="F2376" s="31">
        <v>20.484999999999999</v>
      </c>
      <c r="G2376" s="34">
        <f t="shared" si="42"/>
        <v>127.0213395</v>
      </c>
      <c r="H2376" s="35"/>
      <c r="I2376" s="31"/>
      <c r="J2376" s="155">
        <v>0</v>
      </c>
    </row>
    <row r="2377" spans="1:10" ht="27" hidden="1" thickBot="1" x14ac:dyDescent="0.35">
      <c r="A2377" s="229"/>
      <c r="B2377" s="224"/>
      <c r="C2377" s="36" t="s">
        <v>772</v>
      </c>
      <c r="D2377" s="36" t="s">
        <v>20</v>
      </c>
      <c r="E2377" s="37">
        <v>1</v>
      </c>
      <c r="F2377" s="34" t="s">
        <v>560</v>
      </c>
      <c r="G2377" s="34" t="str">
        <f t="shared" si="42"/>
        <v/>
      </c>
      <c r="H2377" s="35"/>
      <c r="I2377" s="31"/>
      <c r="J2377" s="155">
        <v>0</v>
      </c>
    </row>
    <row r="2378" spans="1:10" ht="15" hidden="1" thickBot="1" x14ac:dyDescent="0.35">
      <c r="A2378" s="229"/>
      <c r="B2378" s="224"/>
      <c r="C2378" s="36" t="s">
        <v>769</v>
      </c>
      <c r="D2378" s="36" t="s">
        <v>147</v>
      </c>
      <c r="E2378" s="37">
        <v>24</v>
      </c>
      <c r="F2378" s="34" t="s">
        <v>560</v>
      </c>
      <c r="G2378" s="34" t="str">
        <f t="shared" si="42"/>
        <v/>
      </c>
      <c r="H2378" s="35"/>
      <c r="I2378" s="31"/>
      <c r="J2378" s="155">
        <v>0</v>
      </c>
    </row>
    <row r="2379" spans="1:10" ht="15" hidden="1" thickBot="1" x14ac:dyDescent="0.35">
      <c r="A2379" s="230"/>
      <c r="B2379" s="225"/>
      <c r="C2379" s="36"/>
      <c r="D2379" s="36"/>
      <c r="E2379" s="37"/>
      <c r="F2379" s="31" t="s">
        <v>560</v>
      </c>
      <c r="G2379" s="34" t="str">
        <f t="shared" si="42"/>
        <v/>
      </c>
      <c r="H2379" s="35"/>
      <c r="I2379" s="31"/>
      <c r="J2379" s="155">
        <v>0</v>
      </c>
    </row>
    <row r="2380" spans="1:10" ht="15" hidden="1" thickBot="1" x14ac:dyDescent="0.35">
      <c r="A2380" s="226" t="s">
        <v>773</v>
      </c>
      <c r="B2380" s="223" t="e">
        <f>INDEX(#REF!,MATCH(Composições!A2380,#REF!,0),2)</f>
        <v>#REF!</v>
      </c>
      <c r="C2380" s="41"/>
      <c r="D2380" s="26" t="e">
        <f>TRIM(INDEX(#REF!,MATCH(Composições!A2380,#REF!,0),1))</f>
        <v>#REF!</v>
      </c>
      <c r="E2380" s="27"/>
      <c r="F2380" s="42" t="s">
        <v>560</v>
      </c>
      <c r="G2380" s="28" t="str">
        <f t="shared" si="42"/>
        <v/>
      </c>
      <c r="H2380" s="29"/>
      <c r="I2380" s="30"/>
      <c r="J2380" s="155">
        <v>0</v>
      </c>
    </row>
    <row r="2381" spans="1:10" ht="15" hidden="1" thickBot="1" x14ac:dyDescent="0.35">
      <c r="A2381" s="227"/>
      <c r="B2381" s="224"/>
      <c r="C2381" s="32"/>
      <c r="D2381" s="32"/>
      <c r="E2381" s="33"/>
      <c r="F2381" s="43" t="s">
        <v>560</v>
      </c>
      <c r="G2381" s="34" t="str">
        <f t="shared" si="42"/>
        <v/>
      </c>
      <c r="H2381" s="35"/>
      <c r="I2381" s="31"/>
      <c r="J2381" s="155">
        <v>0</v>
      </c>
    </row>
    <row r="2382" spans="1:10" ht="15" hidden="1" thickBot="1" x14ac:dyDescent="0.35">
      <c r="A2382" s="227"/>
      <c r="B2382" s="224"/>
      <c r="C2382" s="36" t="s">
        <v>74</v>
      </c>
      <c r="D2382" s="47" t="s">
        <v>12</v>
      </c>
      <c r="E2382" s="37">
        <v>6.4100000000000004E-2</v>
      </c>
      <c r="F2382" s="31">
        <v>15.928999999999998</v>
      </c>
      <c r="G2382" s="34">
        <f t="shared" si="42"/>
        <v>1.0210489</v>
      </c>
      <c r="H2382" s="39">
        <f>SUM(G2382:G2384)</f>
        <v>3.4229874000000002</v>
      </c>
      <c r="I2382" s="40"/>
      <c r="J2382" s="155">
        <v>0</v>
      </c>
    </row>
    <row r="2383" spans="1:10" ht="15" hidden="1" thickBot="1" x14ac:dyDescent="0.35">
      <c r="A2383" s="227"/>
      <c r="B2383" s="224"/>
      <c r="C2383" s="36" t="s">
        <v>30</v>
      </c>
      <c r="D2383" s="36" t="s">
        <v>12</v>
      </c>
      <c r="E2383" s="37">
        <v>6.4100000000000004E-2</v>
      </c>
      <c r="F2383" s="31">
        <v>20.484999999999999</v>
      </c>
      <c r="G2383" s="34">
        <f t="shared" si="42"/>
        <v>1.3130885000000001</v>
      </c>
      <c r="H2383" s="35"/>
      <c r="I2383" s="31"/>
      <c r="J2383" s="155">
        <v>0</v>
      </c>
    </row>
    <row r="2384" spans="1:10" ht="15" hidden="1" thickBot="1" x14ac:dyDescent="0.35">
      <c r="A2384" s="227"/>
      <c r="B2384" s="224"/>
      <c r="C2384" s="36" t="s">
        <v>774</v>
      </c>
      <c r="D2384" s="36" t="s">
        <v>93</v>
      </c>
      <c r="E2384" s="37">
        <v>1.05</v>
      </c>
      <c r="F2384" s="34">
        <v>1.0369999999999999</v>
      </c>
      <c r="G2384" s="34">
        <f t="shared" si="42"/>
        <v>1.0888499999999999</v>
      </c>
      <c r="H2384" s="35"/>
      <c r="I2384" s="31"/>
      <c r="J2384" s="155">
        <v>0</v>
      </c>
    </row>
    <row r="2385" spans="1:10" ht="15" hidden="1" thickBot="1" x14ac:dyDescent="0.35">
      <c r="A2385" s="228"/>
      <c r="B2385" s="225"/>
      <c r="C2385" s="36"/>
      <c r="D2385" s="36"/>
      <c r="E2385" s="37"/>
      <c r="F2385" s="34" t="s">
        <v>560</v>
      </c>
      <c r="G2385" s="34" t="str">
        <f t="shared" si="42"/>
        <v/>
      </c>
      <c r="H2385" s="35"/>
      <c r="I2385" s="31"/>
      <c r="J2385" s="155">
        <v>0</v>
      </c>
    </row>
    <row r="2386" spans="1:10" ht="15" hidden="1" thickBot="1" x14ac:dyDescent="0.35">
      <c r="A2386" s="226" t="s">
        <v>775</v>
      </c>
      <c r="B2386" s="223" t="e">
        <f>INDEX(#REF!,MATCH(Composições!A2386,#REF!,0),2)</f>
        <v>#REF!</v>
      </c>
      <c r="C2386" s="41"/>
      <c r="D2386" s="26" t="e">
        <f>TRIM(INDEX(#REF!,MATCH(Composições!A2386,#REF!,0),1))</f>
        <v>#REF!</v>
      </c>
      <c r="E2386" s="27"/>
      <c r="F2386" s="42" t="s">
        <v>560</v>
      </c>
      <c r="G2386" s="28" t="str">
        <f t="shared" si="42"/>
        <v/>
      </c>
      <c r="H2386" s="29"/>
      <c r="I2386" s="30"/>
      <c r="J2386" s="155">
        <v>0</v>
      </c>
    </row>
    <row r="2387" spans="1:10" ht="15" hidden="1" thickBot="1" x14ac:dyDescent="0.35">
      <c r="A2387" s="229"/>
      <c r="B2387" s="224"/>
      <c r="C2387" s="32"/>
      <c r="D2387" s="32"/>
      <c r="E2387" s="33"/>
      <c r="F2387" s="43" t="s">
        <v>560</v>
      </c>
      <c r="G2387" s="34" t="str">
        <f t="shared" si="42"/>
        <v/>
      </c>
      <c r="H2387" s="35"/>
      <c r="I2387" s="31"/>
      <c r="J2387" s="155">
        <v>0</v>
      </c>
    </row>
    <row r="2388" spans="1:10" ht="27" hidden="1" thickBot="1" x14ac:dyDescent="0.35">
      <c r="A2388" s="229"/>
      <c r="B2388" s="224"/>
      <c r="C2388" s="36" t="s">
        <v>776</v>
      </c>
      <c r="D2388" s="36" t="s">
        <v>147</v>
      </c>
      <c r="E2388" s="37">
        <v>1</v>
      </c>
      <c r="F2388" s="34" t="s">
        <v>560</v>
      </c>
      <c r="G2388" s="34" t="str">
        <f t="shared" si="42"/>
        <v/>
      </c>
      <c r="H2388" s="39">
        <f>SUM(G2388:G2391)</f>
        <v>31.776066799999999</v>
      </c>
      <c r="I2388" s="40"/>
      <c r="J2388" s="155">
        <v>0</v>
      </c>
    </row>
    <row r="2389" spans="1:10" ht="15" hidden="1" thickBot="1" x14ac:dyDescent="0.35">
      <c r="A2389" s="229"/>
      <c r="B2389" s="224"/>
      <c r="C2389" s="36" t="s">
        <v>777</v>
      </c>
      <c r="D2389" s="36" t="s">
        <v>292</v>
      </c>
      <c r="E2389" s="37">
        <v>1</v>
      </c>
      <c r="F2389" s="34">
        <v>24.267499999999998</v>
      </c>
      <c r="G2389" s="34">
        <f t="shared" si="42"/>
        <v>24.267499999999998</v>
      </c>
      <c r="H2389" s="35"/>
      <c r="I2389" s="31"/>
      <c r="J2389" s="155">
        <v>0</v>
      </c>
    </row>
    <row r="2390" spans="1:10" ht="15" hidden="1" thickBot="1" x14ac:dyDescent="0.35">
      <c r="A2390" s="229"/>
      <c r="B2390" s="224"/>
      <c r="C2390" s="36" t="s">
        <v>74</v>
      </c>
      <c r="D2390" s="47" t="s">
        <v>12</v>
      </c>
      <c r="E2390" s="37">
        <v>0.20619999999999999</v>
      </c>
      <c r="F2390" s="31">
        <v>15.928999999999998</v>
      </c>
      <c r="G2390" s="34">
        <f t="shared" si="42"/>
        <v>3.2845597999999998</v>
      </c>
      <c r="H2390" s="35"/>
      <c r="I2390" s="31"/>
      <c r="J2390" s="155">
        <v>0</v>
      </c>
    </row>
    <row r="2391" spans="1:10" ht="15" hidden="1" thickBot="1" x14ac:dyDescent="0.35">
      <c r="A2391" s="229"/>
      <c r="B2391" s="224"/>
      <c r="C2391" s="36" t="s">
        <v>30</v>
      </c>
      <c r="D2391" s="36" t="s">
        <v>12</v>
      </c>
      <c r="E2391" s="37">
        <v>0.20619999999999999</v>
      </c>
      <c r="F2391" s="31">
        <v>20.484999999999999</v>
      </c>
      <c r="G2391" s="34">
        <f t="shared" si="42"/>
        <v>4.2240069999999994</v>
      </c>
      <c r="H2391" s="35"/>
      <c r="I2391" s="31"/>
      <c r="J2391" s="155">
        <v>0</v>
      </c>
    </row>
    <row r="2392" spans="1:10" ht="15" hidden="1" thickBot="1" x14ac:dyDescent="0.35">
      <c r="A2392" s="230"/>
      <c r="B2392" s="225"/>
      <c r="C2392" s="36"/>
      <c r="D2392" s="36"/>
      <c r="E2392" s="37"/>
      <c r="F2392" s="31" t="s">
        <v>560</v>
      </c>
      <c r="G2392" s="34" t="str">
        <f t="shared" si="42"/>
        <v/>
      </c>
      <c r="H2392" s="35"/>
      <c r="I2392" s="31"/>
      <c r="J2392" s="155">
        <v>0</v>
      </c>
    </row>
    <row r="2393" spans="1:10" ht="15" hidden="1" thickBot="1" x14ac:dyDescent="0.35">
      <c r="A2393" s="226" t="s">
        <v>778</v>
      </c>
      <c r="B2393" s="223" t="e">
        <f>INDEX(#REF!,MATCH(Composições!A2393,#REF!,0),2)</f>
        <v>#REF!</v>
      </c>
      <c r="C2393" s="41"/>
      <c r="D2393" s="26" t="e">
        <f>TRIM(INDEX(#REF!,MATCH(Composições!A2393,#REF!,0),1))</f>
        <v>#REF!</v>
      </c>
      <c r="E2393" s="27"/>
      <c r="F2393" s="42" t="s">
        <v>560</v>
      </c>
      <c r="G2393" s="28" t="str">
        <f t="shared" si="42"/>
        <v/>
      </c>
      <c r="H2393" s="29"/>
      <c r="I2393" s="30"/>
      <c r="J2393" s="155">
        <v>0</v>
      </c>
    </row>
    <row r="2394" spans="1:10" ht="15" hidden="1" thickBot="1" x14ac:dyDescent="0.35">
      <c r="A2394" s="229"/>
      <c r="B2394" s="224"/>
      <c r="C2394" s="32"/>
      <c r="D2394" s="32"/>
      <c r="E2394" s="33"/>
      <c r="F2394" s="43" t="s">
        <v>560</v>
      </c>
      <c r="G2394" s="34" t="str">
        <f t="shared" si="42"/>
        <v/>
      </c>
      <c r="H2394" s="35"/>
      <c r="I2394" s="31"/>
      <c r="J2394" s="155">
        <v>0</v>
      </c>
    </row>
    <row r="2395" spans="1:10" ht="15" hidden="1" thickBot="1" x14ac:dyDescent="0.35">
      <c r="A2395" s="229"/>
      <c r="B2395" s="224"/>
      <c r="C2395" s="36" t="s">
        <v>52</v>
      </c>
      <c r="D2395" s="47" t="s">
        <v>12</v>
      </c>
      <c r="E2395" s="37">
        <v>3.5</v>
      </c>
      <c r="F2395" s="31">
        <v>16.013999999999999</v>
      </c>
      <c r="G2395" s="34">
        <f t="shared" si="42"/>
        <v>56.048999999999999</v>
      </c>
      <c r="H2395" s="39">
        <f>SUM(G2395:G2397)</f>
        <v>130.36449999999999</v>
      </c>
      <c r="I2395" s="40"/>
      <c r="J2395" s="155">
        <v>0</v>
      </c>
    </row>
    <row r="2396" spans="1:10" ht="15" hidden="1" thickBot="1" x14ac:dyDescent="0.35">
      <c r="A2396" s="229"/>
      <c r="B2396" s="224"/>
      <c r="C2396" s="36" t="s">
        <v>608</v>
      </c>
      <c r="D2396" s="47" t="s">
        <v>12</v>
      </c>
      <c r="E2396" s="37">
        <v>3.5</v>
      </c>
      <c r="F2396" s="31">
        <v>21.233000000000001</v>
      </c>
      <c r="G2396" s="34">
        <f t="shared" si="42"/>
        <v>74.3155</v>
      </c>
      <c r="H2396" s="35"/>
      <c r="I2396" s="31"/>
      <c r="J2396" s="155">
        <v>0</v>
      </c>
    </row>
    <row r="2397" spans="1:10" ht="27" hidden="1" thickBot="1" x14ac:dyDescent="0.35">
      <c r="A2397" s="229"/>
      <c r="B2397" s="224"/>
      <c r="C2397" s="36" t="s">
        <v>779</v>
      </c>
      <c r="D2397" s="36" t="s">
        <v>147</v>
      </c>
      <c r="E2397" s="37">
        <v>1</v>
      </c>
      <c r="F2397" s="34" t="s">
        <v>560</v>
      </c>
      <c r="G2397" s="34" t="str">
        <f t="shared" si="42"/>
        <v/>
      </c>
      <c r="H2397" s="35"/>
      <c r="I2397" s="31"/>
      <c r="J2397" s="155">
        <v>0</v>
      </c>
    </row>
    <row r="2398" spans="1:10" ht="15" hidden="1" thickBot="1" x14ac:dyDescent="0.35">
      <c r="A2398" s="230"/>
      <c r="B2398" s="225"/>
      <c r="C2398" s="36"/>
      <c r="D2398" s="36"/>
      <c r="E2398" s="37"/>
      <c r="F2398" s="31" t="s">
        <v>560</v>
      </c>
      <c r="G2398" s="34" t="str">
        <f t="shared" si="42"/>
        <v/>
      </c>
      <c r="H2398" s="35"/>
      <c r="I2398" s="31"/>
      <c r="J2398" s="155">
        <v>0</v>
      </c>
    </row>
    <row r="2399" spans="1:10" ht="15" hidden="1" thickBot="1" x14ac:dyDescent="0.35">
      <c r="A2399" s="226" t="s">
        <v>1564</v>
      </c>
      <c r="B2399" s="223" t="e">
        <f>INDEX(#REF!,MATCH(Composições!A2399,#REF!,0),2)</f>
        <v>#REF!</v>
      </c>
      <c r="C2399" s="41"/>
      <c r="D2399" s="26" t="e">
        <f>TRIM(INDEX(#REF!,MATCH(Composições!A2399,#REF!,0),1))</f>
        <v>#REF!</v>
      </c>
      <c r="E2399" s="27"/>
      <c r="F2399" s="42" t="s">
        <v>560</v>
      </c>
      <c r="G2399" s="28" t="str">
        <f t="shared" si="42"/>
        <v/>
      </c>
      <c r="H2399" s="29"/>
      <c r="I2399" s="30"/>
      <c r="J2399" s="155">
        <v>0</v>
      </c>
    </row>
    <row r="2400" spans="1:10" ht="15" hidden="1" thickBot="1" x14ac:dyDescent="0.35">
      <c r="A2400" s="229"/>
      <c r="B2400" s="224"/>
      <c r="C2400" s="32"/>
      <c r="D2400" s="32"/>
      <c r="E2400" s="33"/>
      <c r="F2400" s="43" t="s">
        <v>560</v>
      </c>
      <c r="G2400" s="34" t="str">
        <f t="shared" si="42"/>
        <v/>
      </c>
      <c r="H2400" s="35"/>
      <c r="I2400" s="31"/>
      <c r="J2400" s="155">
        <v>0</v>
      </c>
    </row>
    <row r="2401" spans="1:10" ht="27" hidden="1" thickBot="1" x14ac:dyDescent="0.35">
      <c r="A2401" s="229"/>
      <c r="B2401" s="224"/>
      <c r="C2401" s="36" t="s">
        <v>1770</v>
      </c>
      <c r="D2401" s="36" t="s">
        <v>292</v>
      </c>
      <c r="E2401" s="37">
        <v>1</v>
      </c>
      <c r="F2401" s="31">
        <v>12.783999999999999</v>
      </c>
      <c r="G2401" s="34">
        <f t="shared" si="42"/>
        <v>12.783999999999999</v>
      </c>
      <c r="H2401" s="39">
        <f>SUM(G2401:G2401)</f>
        <v>12.783999999999999</v>
      </c>
      <c r="I2401" s="40"/>
      <c r="J2401" s="155">
        <v>0</v>
      </c>
    </row>
    <row r="2402" spans="1:10" ht="15" hidden="1" thickBot="1" x14ac:dyDescent="0.35">
      <c r="A2402" s="230"/>
      <c r="B2402" s="225"/>
      <c r="C2402" s="36"/>
      <c r="D2402" s="36"/>
      <c r="E2402" s="37"/>
      <c r="F2402" s="31" t="s">
        <v>560</v>
      </c>
      <c r="G2402" s="34" t="str">
        <f t="shared" si="42"/>
        <v/>
      </c>
      <c r="H2402" s="35"/>
      <c r="I2402" s="31"/>
      <c r="J2402" s="155">
        <v>0</v>
      </c>
    </row>
    <row r="2403" spans="1:10" ht="15" hidden="1" thickBot="1" x14ac:dyDescent="0.35">
      <c r="A2403" s="226" t="s">
        <v>1565</v>
      </c>
      <c r="B2403" s="223" t="e">
        <f>INDEX(#REF!,MATCH(Composições!A2403,#REF!,0),2)</f>
        <v>#REF!</v>
      </c>
      <c r="C2403" s="41"/>
      <c r="D2403" s="26" t="e">
        <f>TRIM(INDEX(#REF!,MATCH(Composições!A2403,#REF!,0),1))</f>
        <v>#REF!</v>
      </c>
      <c r="E2403" s="27"/>
      <c r="F2403" s="42" t="s">
        <v>560</v>
      </c>
      <c r="G2403" s="28" t="str">
        <f t="shared" si="42"/>
        <v/>
      </c>
      <c r="H2403" s="29"/>
      <c r="I2403" s="30"/>
      <c r="J2403" s="155">
        <v>0</v>
      </c>
    </row>
    <row r="2404" spans="1:10" ht="15" hidden="1" thickBot="1" x14ac:dyDescent="0.35">
      <c r="A2404" s="229"/>
      <c r="B2404" s="224"/>
      <c r="C2404" s="32"/>
      <c r="D2404" s="32"/>
      <c r="E2404" s="33"/>
      <c r="F2404" s="43" t="s">
        <v>560</v>
      </c>
      <c r="G2404" s="34" t="str">
        <f t="shared" si="42"/>
        <v/>
      </c>
      <c r="H2404" s="35"/>
      <c r="I2404" s="31"/>
      <c r="J2404" s="155">
        <v>0</v>
      </c>
    </row>
    <row r="2405" spans="1:10" ht="53.4" hidden="1" thickBot="1" x14ac:dyDescent="0.35">
      <c r="A2405" s="229"/>
      <c r="B2405" s="224"/>
      <c r="C2405" s="36" t="s">
        <v>2046</v>
      </c>
      <c r="D2405" s="47" t="s">
        <v>781</v>
      </c>
      <c r="E2405" s="37">
        <v>1</v>
      </c>
      <c r="F2405" s="31">
        <v>48.79</v>
      </c>
      <c r="G2405" s="34">
        <f t="shared" si="42"/>
        <v>48.79</v>
      </c>
      <c r="H2405" s="39">
        <f>SUM(G2405:G2405)</f>
        <v>48.79</v>
      </c>
      <c r="I2405" s="40"/>
      <c r="J2405" s="155">
        <v>0</v>
      </c>
    </row>
    <row r="2406" spans="1:10" ht="15" hidden="1" thickBot="1" x14ac:dyDescent="0.35">
      <c r="A2406" s="230"/>
      <c r="B2406" s="225"/>
      <c r="C2406" s="36"/>
      <c r="D2406" s="36"/>
      <c r="E2406" s="37"/>
      <c r="F2406" s="31" t="s">
        <v>560</v>
      </c>
      <c r="G2406" s="34" t="str">
        <f t="shared" si="42"/>
        <v/>
      </c>
      <c r="H2406" s="35"/>
      <c r="I2406" s="31"/>
      <c r="J2406" s="155">
        <v>0</v>
      </c>
    </row>
    <row r="2407" spans="1:10" ht="15" hidden="1" thickBot="1" x14ac:dyDescent="0.35">
      <c r="A2407" s="226" t="s">
        <v>780</v>
      </c>
      <c r="B2407" s="223" t="e">
        <f>INDEX(#REF!,MATCH(Composições!A2407,#REF!,0),2)</f>
        <v>#REF!</v>
      </c>
      <c r="C2407" s="41"/>
      <c r="D2407" s="26" t="e">
        <f>TRIM(INDEX(#REF!,MATCH(Composições!A2407,#REF!,0),1))</f>
        <v>#REF!</v>
      </c>
      <c r="E2407" s="27"/>
      <c r="F2407" s="42" t="s">
        <v>560</v>
      </c>
      <c r="G2407" s="28" t="str">
        <f t="shared" si="42"/>
        <v/>
      </c>
      <c r="H2407" s="29"/>
      <c r="I2407" s="30"/>
      <c r="J2407" s="155">
        <v>0</v>
      </c>
    </row>
    <row r="2408" spans="1:10" ht="15" hidden="1" thickBot="1" x14ac:dyDescent="0.35">
      <c r="A2408" s="229"/>
      <c r="B2408" s="224"/>
      <c r="C2408" s="32"/>
      <c r="D2408" s="32"/>
      <c r="E2408" s="33"/>
      <c r="F2408" s="43" t="s">
        <v>560</v>
      </c>
      <c r="G2408" s="34" t="str">
        <f t="shared" si="42"/>
        <v/>
      </c>
      <c r="H2408" s="35"/>
      <c r="I2408" s="31"/>
      <c r="J2408" s="155">
        <v>0</v>
      </c>
    </row>
    <row r="2409" spans="1:10" ht="53.4" hidden="1" thickBot="1" x14ac:dyDescent="0.35">
      <c r="A2409" s="229"/>
      <c r="B2409" s="224"/>
      <c r="C2409" s="36" t="s">
        <v>2047</v>
      </c>
      <c r="D2409" s="47" t="s">
        <v>781</v>
      </c>
      <c r="E2409" s="37">
        <v>1</v>
      </c>
      <c r="F2409" s="31">
        <v>63.41</v>
      </c>
      <c r="G2409" s="34">
        <f t="shared" si="42"/>
        <v>63.41</v>
      </c>
      <c r="H2409" s="39">
        <f>SUM(G2409:G2409)</f>
        <v>63.41</v>
      </c>
      <c r="I2409" s="40"/>
      <c r="J2409" s="155">
        <v>0</v>
      </c>
    </row>
    <row r="2410" spans="1:10" ht="15" hidden="1" thickBot="1" x14ac:dyDescent="0.35">
      <c r="A2410" s="230"/>
      <c r="B2410" s="225"/>
      <c r="C2410" s="36"/>
      <c r="D2410" s="36"/>
      <c r="E2410" s="37"/>
      <c r="F2410" s="31" t="s">
        <v>560</v>
      </c>
      <c r="G2410" s="34" t="str">
        <f t="shared" si="42"/>
        <v/>
      </c>
      <c r="H2410" s="35"/>
      <c r="I2410" s="31"/>
      <c r="J2410" s="155">
        <v>0</v>
      </c>
    </row>
    <row r="2411" spans="1:10" ht="15" hidden="1" thickBot="1" x14ac:dyDescent="0.35">
      <c r="A2411" s="226" t="s">
        <v>1566</v>
      </c>
      <c r="B2411" s="223" t="e">
        <f>INDEX(#REF!,MATCH(Composições!A2411,#REF!,0),2)</f>
        <v>#REF!</v>
      </c>
      <c r="C2411" s="41"/>
      <c r="D2411" s="26" t="e">
        <f>TRIM(INDEX(#REF!,MATCH(Composições!A2411,#REF!,0),1))</f>
        <v>#REF!</v>
      </c>
      <c r="E2411" s="27"/>
      <c r="F2411" s="42" t="s">
        <v>560</v>
      </c>
      <c r="G2411" s="28" t="str">
        <f t="shared" si="42"/>
        <v/>
      </c>
      <c r="H2411" s="29"/>
      <c r="I2411" s="30"/>
      <c r="J2411" s="155">
        <v>0</v>
      </c>
    </row>
    <row r="2412" spans="1:10" ht="15" hidden="1" thickBot="1" x14ac:dyDescent="0.35">
      <c r="A2412" s="229"/>
      <c r="B2412" s="224"/>
      <c r="C2412" s="32"/>
      <c r="D2412" s="32"/>
      <c r="E2412" s="33"/>
      <c r="F2412" s="43" t="s">
        <v>560</v>
      </c>
      <c r="G2412" s="34" t="str">
        <f t="shared" si="42"/>
        <v/>
      </c>
      <c r="H2412" s="35"/>
      <c r="I2412" s="31"/>
      <c r="J2412" s="155">
        <v>0</v>
      </c>
    </row>
    <row r="2413" spans="1:10" ht="53.4" hidden="1" thickBot="1" x14ac:dyDescent="0.35">
      <c r="A2413" s="229"/>
      <c r="B2413" s="224"/>
      <c r="C2413" s="36" t="s">
        <v>2045</v>
      </c>
      <c r="D2413" s="47" t="s">
        <v>781</v>
      </c>
      <c r="E2413" s="37">
        <v>1</v>
      </c>
      <c r="F2413" s="31">
        <v>38.360500000000002</v>
      </c>
      <c r="G2413" s="34">
        <f t="shared" si="42"/>
        <v>38.360500000000002</v>
      </c>
      <c r="H2413" s="39">
        <f>SUM(G2413:G2413)</f>
        <v>38.360500000000002</v>
      </c>
      <c r="I2413" s="40"/>
      <c r="J2413" s="155">
        <v>0</v>
      </c>
    </row>
    <row r="2414" spans="1:10" ht="15" hidden="1" thickBot="1" x14ac:dyDescent="0.35">
      <c r="A2414" s="230"/>
      <c r="B2414" s="225"/>
      <c r="C2414" s="36"/>
      <c r="D2414" s="36"/>
      <c r="E2414" s="37"/>
      <c r="F2414" s="31" t="s">
        <v>560</v>
      </c>
      <c r="G2414" s="34" t="str">
        <f t="shared" si="42"/>
        <v/>
      </c>
      <c r="H2414" s="35"/>
      <c r="I2414" s="31"/>
      <c r="J2414" s="155">
        <v>0</v>
      </c>
    </row>
    <row r="2415" spans="1:10" ht="15" hidden="1" thickBot="1" x14ac:dyDescent="0.35">
      <c r="A2415" s="226" t="s">
        <v>1567</v>
      </c>
      <c r="B2415" s="223" t="e">
        <f>INDEX(#REF!,MATCH(Composições!A2415,#REF!,0),2)</f>
        <v>#REF!</v>
      </c>
      <c r="C2415" s="41"/>
      <c r="D2415" s="26" t="e">
        <f>TRIM(INDEX(#REF!,MATCH(Composições!A2415,#REF!,0),1))</f>
        <v>#REF!</v>
      </c>
      <c r="E2415" s="27"/>
      <c r="F2415" s="42" t="s">
        <v>560</v>
      </c>
      <c r="G2415" s="28" t="str">
        <f t="shared" si="42"/>
        <v/>
      </c>
      <c r="H2415" s="29"/>
      <c r="I2415" s="30"/>
      <c r="J2415" s="155">
        <v>0</v>
      </c>
    </row>
    <row r="2416" spans="1:10" ht="15" hidden="1" thickBot="1" x14ac:dyDescent="0.35">
      <c r="A2416" s="229"/>
      <c r="B2416" s="224"/>
      <c r="C2416" s="32"/>
      <c r="D2416" s="32"/>
      <c r="E2416" s="33"/>
      <c r="F2416" s="43" t="s">
        <v>560</v>
      </c>
      <c r="G2416" s="34" t="str">
        <f t="shared" si="42"/>
        <v/>
      </c>
      <c r="H2416" s="35"/>
      <c r="I2416" s="31"/>
      <c r="J2416" s="155">
        <v>0</v>
      </c>
    </row>
    <row r="2417" spans="1:10" ht="27" hidden="1" thickBot="1" x14ac:dyDescent="0.35">
      <c r="A2417" s="229"/>
      <c r="B2417" s="224"/>
      <c r="C2417" s="36" t="s">
        <v>2058</v>
      </c>
      <c r="D2417" s="36" t="s">
        <v>292</v>
      </c>
      <c r="E2417" s="37">
        <v>1</v>
      </c>
      <c r="F2417" s="31">
        <v>34.832999999999998</v>
      </c>
      <c r="G2417" s="34">
        <f t="shared" si="42"/>
        <v>34.832999999999998</v>
      </c>
      <c r="H2417" s="39">
        <f>SUM(G2417:G2417)</f>
        <v>34.832999999999998</v>
      </c>
      <c r="I2417" s="40"/>
      <c r="J2417" s="155">
        <v>0</v>
      </c>
    </row>
    <row r="2418" spans="1:10" ht="15" hidden="1" thickBot="1" x14ac:dyDescent="0.35">
      <c r="A2418" s="230"/>
      <c r="B2418" s="225"/>
      <c r="C2418" s="36"/>
      <c r="D2418" s="36"/>
      <c r="E2418" s="37"/>
      <c r="F2418" s="31" t="s">
        <v>560</v>
      </c>
      <c r="G2418" s="34" t="str">
        <f t="shared" si="42"/>
        <v/>
      </c>
      <c r="H2418" s="35"/>
      <c r="I2418" s="31"/>
      <c r="J2418" s="155">
        <v>0</v>
      </c>
    </row>
    <row r="2419" spans="1:10" ht="15" hidden="1" thickBot="1" x14ac:dyDescent="0.35">
      <c r="A2419" s="226" t="s">
        <v>1568</v>
      </c>
      <c r="B2419" s="223" t="e">
        <f>INDEX(#REF!,MATCH(Composições!A2419,#REF!,0),2)</f>
        <v>#REF!</v>
      </c>
      <c r="C2419" s="41"/>
      <c r="D2419" s="26" t="e">
        <f>TRIM(INDEX(#REF!,MATCH(Composições!A2419,#REF!,0),1))</f>
        <v>#REF!</v>
      </c>
      <c r="E2419" s="27"/>
      <c r="F2419" s="42" t="s">
        <v>560</v>
      </c>
      <c r="G2419" s="28" t="str">
        <f t="shared" si="42"/>
        <v/>
      </c>
      <c r="H2419" s="29"/>
      <c r="I2419" s="30"/>
      <c r="J2419" s="155">
        <v>0</v>
      </c>
    </row>
    <row r="2420" spans="1:10" ht="15" hidden="1" thickBot="1" x14ac:dyDescent="0.35">
      <c r="A2420" s="229"/>
      <c r="B2420" s="224"/>
      <c r="C2420" s="32"/>
      <c r="D2420" s="32"/>
      <c r="E2420" s="33"/>
      <c r="F2420" s="43" t="s">
        <v>560</v>
      </c>
      <c r="G2420" s="34" t="str">
        <f t="shared" si="42"/>
        <v/>
      </c>
      <c r="H2420" s="35"/>
      <c r="I2420" s="31"/>
      <c r="J2420" s="155">
        <v>0</v>
      </c>
    </row>
    <row r="2421" spans="1:10" ht="27" hidden="1" thickBot="1" x14ac:dyDescent="0.35">
      <c r="A2421" s="229"/>
      <c r="B2421" s="224"/>
      <c r="C2421" s="36" t="s">
        <v>2043</v>
      </c>
      <c r="D2421" s="36" t="s">
        <v>292</v>
      </c>
      <c r="E2421" s="37">
        <v>1</v>
      </c>
      <c r="F2421" s="31">
        <v>9.6389999999999993</v>
      </c>
      <c r="G2421" s="34">
        <f t="shared" si="42"/>
        <v>9.6389999999999993</v>
      </c>
      <c r="H2421" s="39">
        <f>SUM(G2421:G2421)</f>
        <v>9.6389999999999993</v>
      </c>
      <c r="I2421" s="40"/>
      <c r="J2421" s="155">
        <v>0</v>
      </c>
    </row>
    <row r="2422" spans="1:10" ht="40.200000000000003" hidden="1" thickBot="1" x14ac:dyDescent="0.35">
      <c r="A2422" s="230"/>
      <c r="B2422" s="225"/>
      <c r="C2422" s="36" t="s">
        <v>2044</v>
      </c>
      <c r="D2422" s="36"/>
      <c r="E2422" s="37"/>
      <c r="F2422" s="31" t="s">
        <v>560</v>
      </c>
      <c r="G2422" s="34" t="str">
        <f t="shared" si="42"/>
        <v/>
      </c>
      <c r="H2422" s="35"/>
      <c r="I2422" s="31"/>
      <c r="J2422" s="155">
        <v>0</v>
      </c>
    </row>
    <row r="2423" spans="1:10" ht="15" hidden="1" thickBot="1" x14ac:dyDescent="0.35">
      <c r="A2423" s="226" t="s">
        <v>1569</v>
      </c>
      <c r="B2423" s="223" t="e">
        <f>INDEX(#REF!,MATCH(Composições!A2423,#REF!,0),2)</f>
        <v>#REF!</v>
      </c>
      <c r="C2423" s="41"/>
      <c r="D2423" s="26" t="e">
        <f>TRIM(INDEX(#REF!,MATCH(Composições!A2423,#REF!,0),1))</f>
        <v>#REF!</v>
      </c>
      <c r="E2423" s="27"/>
      <c r="F2423" s="42" t="s">
        <v>560</v>
      </c>
      <c r="G2423" s="28" t="str">
        <f t="shared" si="42"/>
        <v/>
      </c>
      <c r="H2423" s="29"/>
      <c r="I2423" s="30"/>
      <c r="J2423" s="155">
        <v>0</v>
      </c>
    </row>
    <row r="2424" spans="1:10" ht="15" hidden="1" thickBot="1" x14ac:dyDescent="0.35">
      <c r="A2424" s="229"/>
      <c r="B2424" s="224"/>
      <c r="C2424" s="32"/>
      <c r="D2424" s="32"/>
      <c r="E2424" s="33"/>
      <c r="F2424" s="43" t="s">
        <v>560</v>
      </c>
      <c r="G2424" s="34" t="str">
        <f t="shared" si="42"/>
        <v/>
      </c>
      <c r="H2424" s="35"/>
      <c r="I2424" s="31"/>
      <c r="J2424" s="155">
        <v>0</v>
      </c>
    </row>
    <row r="2425" spans="1:10" ht="53.4" hidden="1" thickBot="1" x14ac:dyDescent="0.35">
      <c r="A2425" s="229"/>
      <c r="B2425" s="224"/>
      <c r="C2425" s="36" t="s">
        <v>2042</v>
      </c>
      <c r="D2425" s="36" t="s">
        <v>292</v>
      </c>
      <c r="E2425" s="37">
        <v>1</v>
      </c>
      <c r="F2425" s="31">
        <v>9.6304999999999996</v>
      </c>
      <c r="G2425" s="34">
        <f t="shared" si="42"/>
        <v>9.6304999999999996</v>
      </c>
      <c r="H2425" s="39">
        <f>SUM(G2425:G2425)</f>
        <v>9.6304999999999996</v>
      </c>
      <c r="I2425" s="40"/>
      <c r="J2425" s="155">
        <v>0</v>
      </c>
    </row>
    <row r="2426" spans="1:10" ht="15" hidden="1" thickBot="1" x14ac:dyDescent="0.35">
      <c r="A2426" s="230"/>
      <c r="B2426" s="225"/>
      <c r="C2426" s="36"/>
      <c r="D2426" s="36"/>
      <c r="E2426" s="37"/>
      <c r="F2426" s="31" t="s">
        <v>560</v>
      </c>
      <c r="G2426" s="34" t="str">
        <f t="shared" si="42"/>
        <v/>
      </c>
      <c r="H2426" s="35"/>
      <c r="I2426" s="31"/>
      <c r="J2426" s="155">
        <v>0</v>
      </c>
    </row>
    <row r="2427" spans="1:10" ht="15" hidden="1" thickBot="1" x14ac:dyDescent="0.35">
      <c r="A2427" s="226" t="s">
        <v>1570</v>
      </c>
      <c r="B2427" s="223" t="e">
        <f>INDEX(#REF!,MATCH(Composições!A2427,#REF!,0),2)</f>
        <v>#REF!</v>
      </c>
      <c r="C2427" s="41"/>
      <c r="D2427" s="26" t="e">
        <f>TRIM(INDEX(#REF!,MATCH(Composições!A2427,#REF!,0),1))</f>
        <v>#REF!</v>
      </c>
      <c r="E2427" s="27"/>
      <c r="F2427" s="42" t="s">
        <v>560</v>
      </c>
      <c r="G2427" s="28" t="str">
        <f t="shared" si="42"/>
        <v/>
      </c>
      <c r="H2427" s="29"/>
      <c r="I2427" s="30"/>
      <c r="J2427" s="155">
        <v>0</v>
      </c>
    </row>
    <row r="2428" spans="1:10" ht="15" hidden="1" thickBot="1" x14ac:dyDescent="0.35">
      <c r="A2428" s="229"/>
      <c r="B2428" s="224"/>
      <c r="C2428" s="32"/>
      <c r="D2428" s="32"/>
      <c r="E2428" s="33"/>
      <c r="F2428" s="43" t="s">
        <v>560</v>
      </c>
      <c r="G2428" s="34" t="str">
        <f t="shared" si="42"/>
        <v/>
      </c>
      <c r="H2428" s="35"/>
      <c r="I2428" s="31"/>
      <c r="J2428" s="155">
        <v>0</v>
      </c>
    </row>
    <row r="2429" spans="1:10" ht="53.4" hidden="1" thickBot="1" x14ac:dyDescent="0.35">
      <c r="A2429" s="229"/>
      <c r="B2429" s="224"/>
      <c r="C2429" s="36" t="s">
        <v>2042</v>
      </c>
      <c r="D2429" s="36" t="s">
        <v>292</v>
      </c>
      <c r="E2429" s="37">
        <v>1</v>
      </c>
      <c r="F2429" s="31">
        <v>9.6304999999999996</v>
      </c>
      <c r="G2429" s="34">
        <f t="shared" si="42"/>
        <v>9.6304999999999996</v>
      </c>
      <c r="H2429" s="39">
        <f>SUM(G2429:G2429)</f>
        <v>9.6304999999999996</v>
      </c>
      <c r="I2429" s="40"/>
      <c r="J2429" s="155">
        <v>0</v>
      </c>
    </row>
    <row r="2430" spans="1:10" ht="15" hidden="1" thickBot="1" x14ac:dyDescent="0.35">
      <c r="A2430" s="230"/>
      <c r="B2430" s="225"/>
      <c r="C2430" s="36"/>
      <c r="D2430" s="36"/>
      <c r="E2430" s="37"/>
      <c r="F2430" s="31" t="s">
        <v>560</v>
      </c>
      <c r="G2430" s="34" t="str">
        <f t="shared" si="42"/>
        <v/>
      </c>
      <c r="H2430" s="35"/>
      <c r="I2430" s="31"/>
      <c r="J2430" s="155">
        <v>0</v>
      </c>
    </row>
    <row r="2431" spans="1:10" ht="15" hidden="1" thickBot="1" x14ac:dyDescent="0.35">
      <c r="A2431" s="226" t="s">
        <v>1571</v>
      </c>
      <c r="B2431" s="223" t="e">
        <f>INDEX(#REF!,MATCH(Composições!A2431,#REF!,0),2)</f>
        <v>#REF!</v>
      </c>
      <c r="C2431" s="41"/>
      <c r="D2431" s="26" t="e">
        <f>TRIM(INDEX(#REF!,MATCH(Composições!A2431,#REF!,0),1))</f>
        <v>#REF!</v>
      </c>
      <c r="E2431" s="27"/>
      <c r="F2431" s="42" t="s">
        <v>560</v>
      </c>
      <c r="G2431" s="28" t="str">
        <f t="shared" si="42"/>
        <v/>
      </c>
      <c r="H2431" s="29"/>
      <c r="I2431" s="30"/>
      <c r="J2431" s="155">
        <v>0</v>
      </c>
    </row>
    <row r="2432" spans="1:10" ht="15" hidden="1" thickBot="1" x14ac:dyDescent="0.35">
      <c r="A2432" s="229"/>
      <c r="B2432" s="224"/>
      <c r="C2432" s="32"/>
      <c r="D2432" s="32"/>
      <c r="E2432" s="33"/>
      <c r="F2432" s="43" t="s">
        <v>560</v>
      </c>
      <c r="G2432" s="34" t="str">
        <f t="shared" si="42"/>
        <v/>
      </c>
      <c r="H2432" s="35"/>
      <c r="I2432" s="31"/>
      <c r="J2432" s="155">
        <v>0</v>
      </c>
    </row>
    <row r="2433" spans="1:10" ht="40.200000000000003" hidden="1" thickBot="1" x14ac:dyDescent="0.35">
      <c r="A2433" s="229"/>
      <c r="B2433" s="224"/>
      <c r="C2433" s="36" t="s">
        <v>2057</v>
      </c>
      <c r="D2433" s="36" t="s">
        <v>292</v>
      </c>
      <c r="E2433" s="37">
        <v>1</v>
      </c>
      <c r="F2433" s="31">
        <v>15.427499999999998</v>
      </c>
      <c r="G2433" s="34">
        <f t="shared" ref="G2433:G2496" si="43">IF(ISNUMBER(F2433),E2433*F2433,"")</f>
        <v>15.427499999999998</v>
      </c>
      <c r="H2433" s="39">
        <f>SUM(G2433:G2433)</f>
        <v>15.427499999999998</v>
      </c>
      <c r="I2433" s="40"/>
      <c r="J2433" s="155">
        <v>0</v>
      </c>
    </row>
    <row r="2434" spans="1:10" ht="15" hidden="1" thickBot="1" x14ac:dyDescent="0.35">
      <c r="A2434" s="230"/>
      <c r="B2434" s="225"/>
      <c r="C2434" s="36"/>
      <c r="D2434" s="36"/>
      <c r="E2434" s="37"/>
      <c r="F2434" s="31" t="s">
        <v>560</v>
      </c>
      <c r="G2434" s="34" t="str">
        <f t="shared" si="43"/>
        <v/>
      </c>
      <c r="H2434" s="35"/>
      <c r="I2434" s="31"/>
      <c r="J2434" s="155">
        <v>0</v>
      </c>
    </row>
    <row r="2435" spans="1:10" ht="15" hidden="1" thickBot="1" x14ac:dyDescent="0.35">
      <c r="A2435" s="226" t="s">
        <v>782</v>
      </c>
      <c r="B2435" s="223" t="e">
        <f>INDEX(#REF!,MATCH(Composições!A2435,#REF!,0),2)</f>
        <v>#REF!</v>
      </c>
      <c r="C2435" s="41"/>
      <c r="D2435" s="26" t="e">
        <f>TRIM(INDEX(#REF!,MATCH(Composições!A2435,#REF!,0),1))</f>
        <v>#REF!</v>
      </c>
      <c r="E2435" s="27"/>
      <c r="F2435" s="42" t="s">
        <v>560</v>
      </c>
      <c r="G2435" s="28" t="str">
        <f t="shared" si="43"/>
        <v/>
      </c>
      <c r="H2435" s="29"/>
      <c r="I2435" s="30"/>
      <c r="J2435" s="155">
        <v>0</v>
      </c>
    </row>
    <row r="2436" spans="1:10" ht="15" hidden="1" thickBot="1" x14ac:dyDescent="0.35">
      <c r="A2436" s="229"/>
      <c r="B2436" s="224"/>
      <c r="C2436" s="32"/>
      <c r="D2436" s="32"/>
      <c r="E2436" s="33"/>
      <c r="F2436" s="43" t="s">
        <v>560</v>
      </c>
      <c r="G2436" s="34" t="str">
        <f t="shared" si="43"/>
        <v/>
      </c>
      <c r="H2436" s="35"/>
      <c r="I2436" s="31"/>
      <c r="J2436" s="155">
        <v>0</v>
      </c>
    </row>
    <row r="2437" spans="1:10" ht="15" hidden="1" thickBot="1" x14ac:dyDescent="0.35">
      <c r="A2437" s="229"/>
      <c r="B2437" s="224"/>
      <c r="C2437" s="36" t="s">
        <v>783</v>
      </c>
      <c r="D2437" s="47" t="s">
        <v>292</v>
      </c>
      <c r="E2437" s="37">
        <v>1</v>
      </c>
      <c r="F2437" s="31">
        <v>17.288999999999998</v>
      </c>
      <c r="G2437" s="34">
        <f t="shared" si="43"/>
        <v>17.288999999999998</v>
      </c>
      <c r="H2437" s="39">
        <f>SUM(G2437:G2437)</f>
        <v>17.288999999999998</v>
      </c>
      <c r="I2437" s="40"/>
      <c r="J2437" s="155">
        <v>0</v>
      </c>
    </row>
    <row r="2438" spans="1:10" ht="15" hidden="1" thickBot="1" x14ac:dyDescent="0.35">
      <c r="A2438" s="230"/>
      <c r="B2438" s="225"/>
      <c r="C2438" s="36"/>
      <c r="D2438" s="36"/>
      <c r="E2438" s="37"/>
      <c r="F2438" s="31" t="s">
        <v>560</v>
      </c>
      <c r="G2438" s="34" t="str">
        <f t="shared" si="43"/>
        <v/>
      </c>
      <c r="H2438" s="35"/>
      <c r="I2438" s="31"/>
      <c r="J2438" s="155">
        <v>0</v>
      </c>
    </row>
    <row r="2439" spans="1:10" ht="15" hidden="1" thickBot="1" x14ac:dyDescent="0.35">
      <c r="A2439" s="226" t="s">
        <v>1572</v>
      </c>
      <c r="B2439" s="223" t="e">
        <f>INDEX(#REF!,MATCH(Composições!A2439,#REF!,0),2)</f>
        <v>#REF!</v>
      </c>
      <c r="C2439" s="41"/>
      <c r="D2439" s="26" t="e">
        <f>TRIM(INDEX(#REF!,MATCH(Composições!A2439,#REF!,0),1))</f>
        <v>#REF!</v>
      </c>
      <c r="E2439" s="27"/>
      <c r="F2439" s="42" t="s">
        <v>560</v>
      </c>
      <c r="G2439" s="28" t="str">
        <f t="shared" si="43"/>
        <v/>
      </c>
      <c r="H2439" s="29"/>
      <c r="I2439" s="30"/>
      <c r="J2439" s="155">
        <v>0</v>
      </c>
    </row>
    <row r="2440" spans="1:10" ht="15" hidden="1" thickBot="1" x14ac:dyDescent="0.35">
      <c r="A2440" s="229"/>
      <c r="B2440" s="224"/>
      <c r="C2440" s="32"/>
      <c r="D2440" s="32"/>
      <c r="E2440" s="33"/>
      <c r="F2440" s="43" t="s">
        <v>560</v>
      </c>
      <c r="G2440" s="34" t="str">
        <f t="shared" si="43"/>
        <v/>
      </c>
      <c r="H2440" s="35"/>
      <c r="I2440" s="31"/>
      <c r="J2440" s="155">
        <v>0</v>
      </c>
    </row>
    <row r="2441" spans="1:10" ht="15" hidden="1" thickBot="1" x14ac:dyDescent="0.35">
      <c r="A2441" s="229"/>
      <c r="B2441" s="224"/>
      <c r="C2441" s="36" t="s">
        <v>298</v>
      </c>
      <c r="D2441" s="47" t="s">
        <v>939</v>
      </c>
      <c r="E2441" s="37">
        <v>1</v>
      </c>
      <c r="F2441" s="31">
        <v>22.797000000000001</v>
      </c>
      <c r="G2441" s="34">
        <f t="shared" si="43"/>
        <v>22.797000000000001</v>
      </c>
      <c r="H2441" s="39">
        <f>SUM(G2441:G2441)</f>
        <v>22.797000000000001</v>
      </c>
      <c r="I2441" s="40"/>
      <c r="J2441" s="155">
        <v>0</v>
      </c>
    </row>
    <row r="2442" spans="1:10" ht="15" hidden="1" thickBot="1" x14ac:dyDescent="0.35">
      <c r="A2442" s="230"/>
      <c r="B2442" s="225"/>
      <c r="C2442" s="36"/>
      <c r="D2442" s="36"/>
      <c r="E2442" s="37"/>
      <c r="F2442" s="31" t="s">
        <v>560</v>
      </c>
      <c r="G2442" s="34" t="str">
        <f t="shared" si="43"/>
        <v/>
      </c>
      <c r="H2442" s="35"/>
      <c r="I2442" s="31"/>
      <c r="J2442" s="155">
        <v>0</v>
      </c>
    </row>
    <row r="2443" spans="1:10" ht="15" hidden="1" thickBot="1" x14ac:dyDescent="0.35">
      <c r="A2443" s="226" t="s">
        <v>1573</v>
      </c>
      <c r="B2443" s="223" t="e">
        <f>INDEX(#REF!,MATCH(Composições!A2443,#REF!,0),2)</f>
        <v>#REF!</v>
      </c>
      <c r="C2443" s="41"/>
      <c r="D2443" s="26" t="e">
        <f>TRIM(INDEX(#REF!,MATCH(Composições!A2443,#REF!,0),1))</f>
        <v>#REF!</v>
      </c>
      <c r="E2443" s="27"/>
      <c r="F2443" s="42" t="s">
        <v>560</v>
      </c>
      <c r="G2443" s="28" t="str">
        <f t="shared" si="43"/>
        <v/>
      </c>
      <c r="H2443" s="29"/>
      <c r="I2443" s="30"/>
      <c r="J2443" s="155">
        <v>0</v>
      </c>
    </row>
    <row r="2444" spans="1:10" ht="15" hidden="1" thickBot="1" x14ac:dyDescent="0.35">
      <c r="A2444" s="229"/>
      <c r="B2444" s="224"/>
      <c r="C2444" s="32"/>
      <c r="D2444" s="32"/>
      <c r="E2444" s="33"/>
      <c r="F2444" s="43" t="s">
        <v>560</v>
      </c>
      <c r="G2444" s="34" t="str">
        <f t="shared" si="43"/>
        <v/>
      </c>
      <c r="H2444" s="35"/>
      <c r="I2444" s="31"/>
      <c r="J2444" s="155">
        <v>0</v>
      </c>
    </row>
    <row r="2445" spans="1:10" ht="27" hidden="1" thickBot="1" x14ac:dyDescent="0.35">
      <c r="A2445" s="229"/>
      <c r="B2445" s="224"/>
      <c r="C2445" s="36" t="s">
        <v>1723</v>
      </c>
      <c r="D2445" s="47" t="s">
        <v>95</v>
      </c>
      <c r="E2445" s="37">
        <v>1</v>
      </c>
      <c r="F2445" s="31">
        <v>38.063000000000002</v>
      </c>
      <c r="G2445" s="34">
        <f t="shared" si="43"/>
        <v>38.063000000000002</v>
      </c>
      <c r="H2445" s="39">
        <f>SUM(G2445:G2445)</f>
        <v>38.063000000000002</v>
      </c>
      <c r="I2445" s="40"/>
      <c r="J2445" s="155">
        <v>0</v>
      </c>
    </row>
    <row r="2446" spans="1:10" ht="15" hidden="1" thickBot="1" x14ac:dyDescent="0.35">
      <c r="A2446" s="230"/>
      <c r="B2446" s="225"/>
      <c r="C2446" s="36"/>
      <c r="D2446" s="36"/>
      <c r="E2446" s="37"/>
      <c r="F2446" s="31" t="s">
        <v>560</v>
      </c>
      <c r="G2446" s="34" t="str">
        <f t="shared" si="43"/>
        <v/>
      </c>
      <c r="H2446" s="35"/>
      <c r="I2446" s="31"/>
      <c r="J2446" s="155">
        <v>0</v>
      </c>
    </row>
    <row r="2447" spans="1:10" ht="15" hidden="1" thickBot="1" x14ac:dyDescent="0.35">
      <c r="A2447" s="226" t="s">
        <v>1574</v>
      </c>
      <c r="B2447" s="223" t="e">
        <f>INDEX(#REF!,MATCH(Composições!A2447,#REF!,0),2)</f>
        <v>#REF!</v>
      </c>
      <c r="C2447" s="41"/>
      <c r="D2447" s="26" t="e">
        <f>TRIM(INDEX(#REF!,MATCH(Composições!A2447,#REF!,0),1))</f>
        <v>#REF!</v>
      </c>
      <c r="E2447" s="27"/>
      <c r="F2447" s="42" t="s">
        <v>560</v>
      </c>
      <c r="G2447" s="28" t="str">
        <f t="shared" si="43"/>
        <v/>
      </c>
      <c r="H2447" s="29"/>
      <c r="I2447" s="30"/>
      <c r="J2447" s="155">
        <v>0</v>
      </c>
    </row>
    <row r="2448" spans="1:10" ht="15" hidden="1" thickBot="1" x14ac:dyDescent="0.35">
      <c r="A2448" s="229"/>
      <c r="B2448" s="224"/>
      <c r="C2448" s="32"/>
      <c r="D2448" s="32"/>
      <c r="E2448" s="33"/>
      <c r="F2448" s="43" t="s">
        <v>560</v>
      </c>
      <c r="G2448" s="34" t="str">
        <f t="shared" si="43"/>
        <v/>
      </c>
      <c r="H2448" s="35"/>
      <c r="I2448" s="31"/>
      <c r="J2448" s="155">
        <v>0</v>
      </c>
    </row>
    <row r="2449" spans="1:10" ht="27" hidden="1" thickBot="1" x14ac:dyDescent="0.35">
      <c r="A2449" s="229"/>
      <c r="B2449" s="224"/>
      <c r="C2449" s="36" t="s">
        <v>1723</v>
      </c>
      <c r="D2449" s="47" t="s">
        <v>95</v>
      </c>
      <c r="E2449" s="37">
        <v>1</v>
      </c>
      <c r="F2449" s="31">
        <v>38.063000000000002</v>
      </c>
      <c r="G2449" s="34">
        <f t="shared" si="43"/>
        <v>38.063000000000002</v>
      </c>
      <c r="H2449" s="39">
        <f>SUM(G2449:G2449)</f>
        <v>38.063000000000002</v>
      </c>
      <c r="I2449" s="40"/>
      <c r="J2449" s="155">
        <v>0</v>
      </c>
    </row>
    <row r="2450" spans="1:10" ht="15" hidden="1" thickBot="1" x14ac:dyDescent="0.35">
      <c r="A2450" s="230"/>
      <c r="B2450" s="225"/>
      <c r="C2450" s="36"/>
      <c r="D2450" s="36"/>
      <c r="E2450" s="37"/>
      <c r="F2450" s="31" t="s">
        <v>560</v>
      </c>
      <c r="G2450" s="34" t="str">
        <f t="shared" si="43"/>
        <v/>
      </c>
      <c r="H2450" s="35"/>
      <c r="I2450" s="31"/>
      <c r="J2450" s="155">
        <v>0</v>
      </c>
    </row>
    <row r="2451" spans="1:10" ht="15" hidden="1" thickBot="1" x14ac:dyDescent="0.35">
      <c r="A2451" s="226" t="s">
        <v>1575</v>
      </c>
      <c r="B2451" s="223" t="e">
        <f>INDEX(#REF!,MATCH(Composições!A2451,#REF!,0),2)</f>
        <v>#REF!</v>
      </c>
      <c r="C2451" s="41"/>
      <c r="D2451" s="26" t="e">
        <f>TRIM(INDEX(#REF!,MATCH(Composições!A2451,#REF!,0),1))</f>
        <v>#REF!</v>
      </c>
      <c r="E2451" s="27"/>
      <c r="F2451" s="42" t="s">
        <v>560</v>
      </c>
      <c r="G2451" s="28" t="str">
        <f t="shared" si="43"/>
        <v/>
      </c>
      <c r="H2451" s="29"/>
      <c r="I2451" s="30"/>
      <c r="J2451" s="155">
        <v>0</v>
      </c>
    </row>
    <row r="2452" spans="1:10" ht="15" hidden="1" thickBot="1" x14ac:dyDescent="0.35">
      <c r="A2452" s="229"/>
      <c r="B2452" s="224"/>
      <c r="C2452" s="32"/>
      <c r="D2452" s="32"/>
      <c r="E2452" s="33"/>
      <c r="F2452" s="43" t="s">
        <v>560</v>
      </c>
      <c r="G2452" s="34" t="str">
        <f t="shared" si="43"/>
        <v/>
      </c>
      <c r="H2452" s="35"/>
      <c r="I2452" s="31"/>
      <c r="J2452" s="155">
        <v>0</v>
      </c>
    </row>
    <row r="2453" spans="1:10" ht="27" hidden="1" thickBot="1" x14ac:dyDescent="0.35">
      <c r="A2453" s="229"/>
      <c r="B2453" s="224"/>
      <c r="C2453" s="36" t="s">
        <v>1723</v>
      </c>
      <c r="D2453" s="47" t="s">
        <v>95</v>
      </c>
      <c r="E2453" s="37">
        <v>1</v>
      </c>
      <c r="F2453" s="31">
        <v>38.063000000000002</v>
      </c>
      <c r="G2453" s="34">
        <f t="shared" si="43"/>
        <v>38.063000000000002</v>
      </c>
      <c r="H2453" s="39">
        <f>SUM(G2453:G2453)</f>
        <v>38.063000000000002</v>
      </c>
      <c r="I2453" s="40"/>
      <c r="J2453" s="155">
        <v>0</v>
      </c>
    </row>
    <row r="2454" spans="1:10" ht="15" hidden="1" thickBot="1" x14ac:dyDescent="0.35">
      <c r="A2454" s="230"/>
      <c r="B2454" s="225"/>
      <c r="C2454" s="36"/>
      <c r="D2454" s="36"/>
      <c r="E2454" s="37"/>
      <c r="F2454" s="31" t="s">
        <v>560</v>
      </c>
      <c r="G2454" s="34" t="str">
        <f t="shared" si="43"/>
        <v/>
      </c>
      <c r="H2454" s="35"/>
      <c r="I2454" s="31"/>
      <c r="J2454" s="155">
        <v>0</v>
      </c>
    </row>
    <row r="2455" spans="1:10" ht="15" hidden="1" thickBot="1" x14ac:dyDescent="0.35">
      <c r="A2455" s="226" t="s">
        <v>1576</v>
      </c>
      <c r="B2455" s="223" t="e">
        <f>INDEX(#REF!,MATCH(Composições!A2455,#REF!,0),2)</f>
        <v>#REF!</v>
      </c>
      <c r="C2455" s="41"/>
      <c r="D2455" s="26" t="e">
        <f>TRIM(INDEX(#REF!,MATCH(Composições!A2455,#REF!,0),1))</f>
        <v>#REF!</v>
      </c>
      <c r="E2455" s="27"/>
      <c r="F2455" s="42" t="s">
        <v>560</v>
      </c>
      <c r="G2455" s="28" t="str">
        <f t="shared" si="43"/>
        <v/>
      </c>
      <c r="H2455" s="29"/>
      <c r="I2455" s="30"/>
      <c r="J2455" s="155">
        <v>0</v>
      </c>
    </row>
    <row r="2456" spans="1:10" ht="15" hidden="1" thickBot="1" x14ac:dyDescent="0.35">
      <c r="A2456" s="229"/>
      <c r="B2456" s="224"/>
      <c r="C2456" s="32"/>
      <c r="D2456" s="32"/>
      <c r="E2456" s="33"/>
      <c r="F2456" s="43" t="s">
        <v>560</v>
      </c>
      <c r="G2456" s="34" t="str">
        <f t="shared" si="43"/>
        <v/>
      </c>
      <c r="H2456" s="35"/>
      <c r="I2456" s="31"/>
      <c r="J2456" s="155">
        <v>0</v>
      </c>
    </row>
    <row r="2457" spans="1:10" ht="27" hidden="1" thickBot="1" x14ac:dyDescent="0.35">
      <c r="A2457" s="229"/>
      <c r="B2457" s="224"/>
      <c r="C2457" s="36" t="s">
        <v>2038</v>
      </c>
      <c r="D2457" s="47" t="s">
        <v>93</v>
      </c>
      <c r="E2457" s="37">
        <f>1/(0.025*0.3)</f>
        <v>133.33333333333334</v>
      </c>
      <c r="F2457" s="31">
        <v>10.225499999999998</v>
      </c>
      <c r="G2457" s="34">
        <f t="shared" si="43"/>
        <v>1363.3999999999999</v>
      </c>
      <c r="H2457" s="39">
        <f>SUM(G2457:G2457)</f>
        <v>1363.3999999999999</v>
      </c>
      <c r="I2457" s="40"/>
      <c r="J2457" s="155">
        <v>0</v>
      </c>
    </row>
    <row r="2458" spans="1:10" ht="15" hidden="1" thickBot="1" x14ac:dyDescent="0.35">
      <c r="A2458" s="230"/>
      <c r="B2458" s="225"/>
      <c r="C2458" s="36"/>
      <c r="D2458" s="36"/>
      <c r="E2458" s="37"/>
      <c r="F2458" s="31" t="s">
        <v>560</v>
      </c>
      <c r="G2458" s="34" t="str">
        <f t="shared" si="43"/>
        <v/>
      </c>
      <c r="H2458" s="35"/>
      <c r="I2458" s="31"/>
      <c r="J2458" s="155">
        <v>0</v>
      </c>
    </row>
    <row r="2459" spans="1:10" ht="15" hidden="1" thickBot="1" x14ac:dyDescent="0.35">
      <c r="A2459" s="226" t="s">
        <v>1577</v>
      </c>
      <c r="B2459" s="223" t="e">
        <f>INDEX(#REF!,MATCH(Composições!A2459,#REF!,0),2)</f>
        <v>#REF!</v>
      </c>
      <c r="C2459" s="41"/>
      <c r="D2459" s="26" t="e">
        <f>TRIM(INDEX(#REF!,MATCH(Composições!A2459,#REF!,0),1))</f>
        <v>#REF!</v>
      </c>
      <c r="E2459" s="27"/>
      <c r="F2459" s="42" t="s">
        <v>560</v>
      </c>
      <c r="G2459" s="28" t="str">
        <f t="shared" si="43"/>
        <v/>
      </c>
      <c r="H2459" s="29"/>
      <c r="I2459" s="30"/>
      <c r="J2459" s="155">
        <v>0</v>
      </c>
    </row>
    <row r="2460" spans="1:10" ht="15" hidden="1" thickBot="1" x14ac:dyDescent="0.35">
      <c r="A2460" s="229"/>
      <c r="B2460" s="224"/>
      <c r="C2460" s="32"/>
      <c r="D2460" s="32"/>
      <c r="E2460" s="33"/>
      <c r="F2460" s="43" t="s">
        <v>560</v>
      </c>
      <c r="G2460" s="34" t="str">
        <f t="shared" si="43"/>
        <v/>
      </c>
      <c r="H2460" s="35"/>
      <c r="I2460" s="31"/>
      <c r="J2460" s="155">
        <v>0</v>
      </c>
    </row>
    <row r="2461" spans="1:10" ht="27" hidden="1" thickBot="1" x14ac:dyDescent="0.35">
      <c r="A2461" s="229"/>
      <c r="B2461" s="224"/>
      <c r="C2461" s="36" t="s">
        <v>2035</v>
      </c>
      <c r="D2461" s="47" t="s">
        <v>93</v>
      </c>
      <c r="E2461" s="37">
        <v>1</v>
      </c>
      <c r="F2461" s="31">
        <v>3.1280000000000001</v>
      </c>
      <c r="G2461" s="34">
        <f t="shared" si="43"/>
        <v>3.1280000000000001</v>
      </c>
      <c r="H2461" s="39">
        <f>SUM(G2461:G2461)</f>
        <v>3.1280000000000001</v>
      </c>
      <c r="I2461" s="40"/>
      <c r="J2461" s="155">
        <v>0</v>
      </c>
    </row>
    <row r="2462" spans="1:10" ht="15" hidden="1" thickBot="1" x14ac:dyDescent="0.35">
      <c r="A2462" s="230"/>
      <c r="B2462" s="225"/>
      <c r="C2462" s="36"/>
      <c r="D2462" s="36"/>
      <c r="E2462" s="37"/>
      <c r="F2462" s="31" t="s">
        <v>560</v>
      </c>
      <c r="G2462" s="34" t="str">
        <f t="shared" si="43"/>
        <v/>
      </c>
      <c r="H2462" s="35"/>
      <c r="I2462" s="31"/>
      <c r="J2462" s="155">
        <v>0</v>
      </c>
    </row>
    <row r="2463" spans="1:10" ht="15" hidden="1" thickBot="1" x14ac:dyDescent="0.35">
      <c r="A2463" s="226" t="s">
        <v>1578</v>
      </c>
      <c r="B2463" s="223" t="e">
        <f>INDEX(#REF!,MATCH(Composições!A2463,#REF!,0),2)</f>
        <v>#REF!</v>
      </c>
      <c r="C2463" s="41"/>
      <c r="D2463" s="26" t="e">
        <f>TRIM(INDEX(#REF!,MATCH(Composições!A2463,#REF!,0),1))</f>
        <v>#REF!</v>
      </c>
      <c r="E2463" s="27"/>
      <c r="F2463" s="42" t="s">
        <v>560</v>
      </c>
      <c r="G2463" s="28" t="str">
        <f t="shared" si="43"/>
        <v/>
      </c>
      <c r="H2463" s="29"/>
      <c r="I2463" s="30"/>
      <c r="J2463" s="155">
        <v>0</v>
      </c>
    </row>
    <row r="2464" spans="1:10" ht="15" hidden="1" thickBot="1" x14ac:dyDescent="0.35">
      <c r="A2464" s="229"/>
      <c r="B2464" s="224"/>
      <c r="C2464" s="32"/>
      <c r="D2464" s="32"/>
      <c r="E2464" s="33"/>
      <c r="F2464" s="43" t="s">
        <v>560</v>
      </c>
      <c r="G2464" s="34" t="str">
        <f t="shared" si="43"/>
        <v/>
      </c>
      <c r="H2464" s="35"/>
      <c r="I2464" s="31"/>
      <c r="J2464" s="155">
        <v>0</v>
      </c>
    </row>
    <row r="2465" spans="1:10" ht="27" hidden="1" thickBot="1" x14ac:dyDescent="0.35">
      <c r="A2465" s="229"/>
      <c r="B2465" s="224"/>
      <c r="C2465" s="36" t="s">
        <v>2025</v>
      </c>
      <c r="D2465" s="47" t="s">
        <v>93</v>
      </c>
      <c r="E2465" s="37">
        <v>1</v>
      </c>
      <c r="F2465" s="31">
        <v>4.335</v>
      </c>
      <c r="G2465" s="34">
        <f t="shared" si="43"/>
        <v>4.335</v>
      </c>
      <c r="H2465" s="39">
        <f>SUM(G2465:G2465)</f>
        <v>4.335</v>
      </c>
      <c r="I2465" s="40"/>
      <c r="J2465" s="155">
        <v>0</v>
      </c>
    </row>
    <row r="2466" spans="1:10" ht="15" hidden="1" thickBot="1" x14ac:dyDescent="0.35">
      <c r="A2466" s="230"/>
      <c r="B2466" s="225"/>
      <c r="C2466" s="36"/>
      <c r="D2466" s="36"/>
      <c r="E2466" s="37"/>
      <c r="F2466" s="31" t="s">
        <v>560</v>
      </c>
      <c r="G2466" s="34" t="str">
        <f t="shared" si="43"/>
        <v/>
      </c>
      <c r="H2466" s="35"/>
      <c r="I2466" s="31"/>
      <c r="J2466" s="155">
        <v>0</v>
      </c>
    </row>
    <row r="2467" spans="1:10" ht="15" hidden="1" thickBot="1" x14ac:dyDescent="0.35">
      <c r="A2467" s="226" t="s">
        <v>1579</v>
      </c>
      <c r="B2467" s="223" t="e">
        <f>INDEX(#REF!,MATCH(Composições!A2467,#REF!,0),2)</f>
        <v>#REF!</v>
      </c>
      <c r="C2467" s="41"/>
      <c r="D2467" s="26" t="e">
        <f>TRIM(INDEX(#REF!,MATCH(Composições!A2467,#REF!,0),1))</f>
        <v>#REF!</v>
      </c>
      <c r="E2467" s="27"/>
      <c r="F2467" s="42" t="s">
        <v>560</v>
      </c>
      <c r="G2467" s="28" t="str">
        <f t="shared" si="43"/>
        <v/>
      </c>
      <c r="H2467" s="29"/>
      <c r="I2467" s="30"/>
      <c r="J2467" s="155">
        <v>0</v>
      </c>
    </row>
    <row r="2468" spans="1:10" ht="15" hidden="1" thickBot="1" x14ac:dyDescent="0.35">
      <c r="A2468" s="229"/>
      <c r="B2468" s="224"/>
      <c r="C2468" s="32"/>
      <c r="D2468" s="32"/>
      <c r="E2468" s="33"/>
      <c r="F2468" s="43" t="s">
        <v>560</v>
      </c>
      <c r="G2468" s="34" t="str">
        <f t="shared" si="43"/>
        <v/>
      </c>
      <c r="H2468" s="35"/>
      <c r="I2468" s="31"/>
      <c r="J2468" s="155">
        <v>0</v>
      </c>
    </row>
    <row r="2469" spans="1:10" ht="15" hidden="1" thickBot="1" x14ac:dyDescent="0.35">
      <c r="A2469" s="229"/>
      <c r="B2469" s="224"/>
      <c r="C2469" s="36" t="s">
        <v>1725</v>
      </c>
      <c r="D2469" s="47" t="s">
        <v>95</v>
      </c>
      <c r="E2469" s="37">
        <v>1</v>
      </c>
      <c r="F2469" s="31">
        <v>24.250499999999999</v>
      </c>
      <c r="G2469" s="34">
        <f t="shared" si="43"/>
        <v>24.250499999999999</v>
      </c>
      <c r="H2469" s="39">
        <f>SUM(G2469:G2469)</f>
        <v>24.250499999999999</v>
      </c>
      <c r="I2469" s="40"/>
      <c r="J2469" s="155">
        <v>0</v>
      </c>
    </row>
    <row r="2470" spans="1:10" ht="15" hidden="1" thickBot="1" x14ac:dyDescent="0.35">
      <c r="A2470" s="230"/>
      <c r="B2470" s="225"/>
      <c r="C2470" s="36"/>
      <c r="D2470" s="36"/>
      <c r="E2470" s="37"/>
      <c r="F2470" s="31" t="s">
        <v>560</v>
      </c>
      <c r="G2470" s="34" t="str">
        <f t="shared" si="43"/>
        <v/>
      </c>
      <c r="H2470" s="35"/>
      <c r="I2470" s="31"/>
      <c r="J2470" s="155">
        <v>0</v>
      </c>
    </row>
    <row r="2471" spans="1:10" ht="15" hidden="1" thickBot="1" x14ac:dyDescent="0.35">
      <c r="A2471" s="226" t="s">
        <v>1580</v>
      </c>
      <c r="B2471" s="223" t="e">
        <f>INDEX(#REF!,MATCH(Composições!A2471,#REF!,0),2)</f>
        <v>#REF!</v>
      </c>
      <c r="C2471" s="41"/>
      <c r="D2471" s="26" t="e">
        <f>TRIM(INDEX(#REF!,MATCH(Composições!A2471,#REF!,0),1))</f>
        <v>#REF!</v>
      </c>
      <c r="E2471" s="27"/>
      <c r="F2471" s="42" t="s">
        <v>560</v>
      </c>
      <c r="G2471" s="28" t="str">
        <f t="shared" si="43"/>
        <v/>
      </c>
      <c r="H2471" s="29"/>
      <c r="I2471" s="30"/>
      <c r="J2471" s="155">
        <v>0</v>
      </c>
    </row>
    <row r="2472" spans="1:10" ht="15" hidden="1" thickBot="1" x14ac:dyDescent="0.35">
      <c r="A2472" s="229"/>
      <c r="B2472" s="224"/>
      <c r="C2472" s="32"/>
      <c r="D2472" s="32"/>
      <c r="E2472" s="33"/>
      <c r="F2472" s="43" t="s">
        <v>560</v>
      </c>
      <c r="G2472" s="34" t="str">
        <f t="shared" si="43"/>
        <v/>
      </c>
      <c r="H2472" s="35"/>
      <c r="I2472" s="31"/>
      <c r="J2472" s="155">
        <v>0</v>
      </c>
    </row>
    <row r="2473" spans="1:10" ht="15" hidden="1" thickBot="1" x14ac:dyDescent="0.35">
      <c r="A2473" s="229"/>
      <c r="B2473" s="224"/>
      <c r="C2473" s="36" t="s">
        <v>1726</v>
      </c>
      <c r="D2473" s="47" t="s">
        <v>95</v>
      </c>
      <c r="E2473" s="37">
        <v>1</v>
      </c>
      <c r="F2473" s="31">
        <v>38.054500000000004</v>
      </c>
      <c r="G2473" s="34">
        <f t="shared" si="43"/>
        <v>38.054500000000004</v>
      </c>
      <c r="H2473" s="39">
        <f>SUM(G2473:G2473)</f>
        <v>38.054500000000004</v>
      </c>
      <c r="I2473" s="40"/>
      <c r="J2473" s="155">
        <v>0</v>
      </c>
    </row>
    <row r="2474" spans="1:10" ht="15" hidden="1" thickBot="1" x14ac:dyDescent="0.35">
      <c r="A2474" s="230"/>
      <c r="B2474" s="225"/>
      <c r="C2474" s="36"/>
      <c r="D2474" s="36"/>
      <c r="E2474" s="37"/>
      <c r="F2474" s="31" t="s">
        <v>560</v>
      </c>
      <c r="G2474" s="34" t="str">
        <f t="shared" si="43"/>
        <v/>
      </c>
      <c r="H2474" s="35"/>
      <c r="I2474" s="31"/>
      <c r="J2474" s="155">
        <v>0</v>
      </c>
    </row>
    <row r="2475" spans="1:10" ht="15" hidden="1" thickBot="1" x14ac:dyDescent="0.35">
      <c r="A2475" s="226" t="s">
        <v>1581</v>
      </c>
      <c r="B2475" s="223" t="e">
        <f>INDEX(#REF!,MATCH(Composições!A2475,#REF!,0),2)</f>
        <v>#REF!</v>
      </c>
      <c r="C2475" s="41"/>
      <c r="D2475" s="26" t="e">
        <f>TRIM(INDEX(#REF!,MATCH(Composições!A2475,#REF!,0),1))</f>
        <v>#REF!</v>
      </c>
      <c r="E2475" s="27"/>
      <c r="F2475" s="42" t="s">
        <v>560</v>
      </c>
      <c r="G2475" s="28" t="str">
        <f t="shared" si="43"/>
        <v/>
      </c>
      <c r="H2475" s="29"/>
      <c r="I2475" s="30"/>
      <c r="J2475" s="155">
        <v>0</v>
      </c>
    </row>
    <row r="2476" spans="1:10" ht="15" hidden="1" thickBot="1" x14ac:dyDescent="0.35">
      <c r="A2476" s="229"/>
      <c r="B2476" s="224"/>
      <c r="C2476" s="32"/>
      <c r="D2476" s="32"/>
      <c r="E2476" s="33"/>
      <c r="F2476" s="43" t="s">
        <v>560</v>
      </c>
      <c r="G2476" s="34" t="str">
        <f t="shared" si="43"/>
        <v/>
      </c>
      <c r="H2476" s="35"/>
      <c r="I2476" s="31"/>
      <c r="J2476" s="155">
        <v>0</v>
      </c>
    </row>
    <row r="2477" spans="1:10" ht="15" hidden="1" thickBot="1" x14ac:dyDescent="0.35">
      <c r="A2477" s="229"/>
      <c r="B2477" s="224"/>
      <c r="C2477" s="36" t="s">
        <v>1727</v>
      </c>
      <c r="D2477" s="47" t="s">
        <v>95</v>
      </c>
      <c r="E2477" s="37">
        <v>1</v>
      </c>
      <c r="F2477" s="31">
        <v>47.242999999999995</v>
      </c>
      <c r="G2477" s="34">
        <f t="shared" si="43"/>
        <v>47.242999999999995</v>
      </c>
      <c r="H2477" s="39">
        <f>SUM(G2477:G2477)</f>
        <v>47.242999999999995</v>
      </c>
      <c r="I2477" s="40"/>
      <c r="J2477" s="155">
        <v>0</v>
      </c>
    </row>
    <row r="2478" spans="1:10" ht="15" hidden="1" thickBot="1" x14ac:dyDescent="0.35">
      <c r="A2478" s="230"/>
      <c r="B2478" s="225"/>
      <c r="C2478" s="36"/>
      <c r="D2478" s="36"/>
      <c r="E2478" s="37"/>
      <c r="F2478" s="31" t="s">
        <v>560</v>
      </c>
      <c r="G2478" s="34" t="str">
        <f t="shared" si="43"/>
        <v/>
      </c>
      <c r="H2478" s="35"/>
      <c r="I2478" s="31"/>
      <c r="J2478" s="155">
        <v>0</v>
      </c>
    </row>
    <row r="2479" spans="1:10" ht="15" hidden="1" thickBot="1" x14ac:dyDescent="0.35">
      <c r="A2479" s="226" t="s">
        <v>1582</v>
      </c>
      <c r="B2479" s="223" t="e">
        <f>INDEX(#REF!,MATCH(Composições!A2479,#REF!,0),2)</f>
        <v>#REF!</v>
      </c>
      <c r="C2479" s="41"/>
      <c r="D2479" s="26" t="e">
        <f>TRIM(INDEX(#REF!,MATCH(Composições!A2479,#REF!,0),1))</f>
        <v>#REF!</v>
      </c>
      <c r="E2479" s="27"/>
      <c r="F2479" s="42" t="s">
        <v>560</v>
      </c>
      <c r="G2479" s="28" t="str">
        <f t="shared" si="43"/>
        <v/>
      </c>
      <c r="H2479" s="29"/>
      <c r="I2479" s="30"/>
      <c r="J2479" s="155">
        <v>0</v>
      </c>
    </row>
    <row r="2480" spans="1:10" ht="15" hidden="1" thickBot="1" x14ac:dyDescent="0.35">
      <c r="A2480" s="229"/>
      <c r="B2480" s="224"/>
      <c r="C2480" s="32"/>
      <c r="D2480" s="32"/>
      <c r="E2480" s="33"/>
      <c r="F2480" s="43" t="s">
        <v>560</v>
      </c>
      <c r="G2480" s="34" t="str">
        <f t="shared" si="43"/>
        <v/>
      </c>
      <c r="H2480" s="35"/>
      <c r="I2480" s="31"/>
      <c r="J2480" s="155">
        <v>0</v>
      </c>
    </row>
    <row r="2481" spans="1:10" ht="27" hidden="1" thickBot="1" x14ac:dyDescent="0.35">
      <c r="A2481" s="229"/>
      <c r="B2481" s="224"/>
      <c r="C2481" s="36" t="s">
        <v>133</v>
      </c>
      <c r="D2481" s="47" t="s">
        <v>42</v>
      </c>
      <c r="E2481" s="37">
        <v>1.73</v>
      </c>
      <c r="F2481" s="31">
        <v>8.1684999999999999</v>
      </c>
      <c r="G2481" s="34">
        <f t="shared" si="43"/>
        <v>14.131504999999999</v>
      </c>
      <c r="H2481" s="39">
        <f>SUM(G2481:G2481)</f>
        <v>14.131504999999999</v>
      </c>
      <c r="I2481" s="40"/>
      <c r="J2481" s="155">
        <v>0</v>
      </c>
    </row>
    <row r="2482" spans="1:10" ht="15" hidden="1" thickBot="1" x14ac:dyDescent="0.35">
      <c r="A2482" s="230"/>
      <c r="B2482" s="225"/>
      <c r="C2482" s="36"/>
      <c r="D2482" s="36"/>
      <c r="E2482" s="37"/>
      <c r="F2482" s="31" t="s">
        <v>560</v>
      </c>
      <c r="G2482" s="34" t="str">
        <f t="shared" si="43"/>
        <v/>
      </c>
      <c r="H2482" s="35"/>
      <c r="I2482" s="31"/>
      <c r="J2482" s="155">
        <v>0</v>
      </c>
    </row>
    <row r="2483" spans="1:10" ht="15" hidden="1" thickBot="1" x14ac:dyDescent="0.35">
      <c r="A2483" s="226" t="s">
        <v>1583</v>
      </c>
      <c r="B2483" s="223" t="e">
        <f>INDEX(#REF!,MATCH(Composições!A2483,#REF!,0),2)</f>
        <v>#REF!</v>
      </c>
      <c r="C2483" s="41"/>
      <c r="D2483" s="26" t="e">
        <f>TRIM(INDEX(#REF!,MATCH(Composições!A2483,#REF!,0),1))</f>
        <v>#REF!</v>
      </c>
      <c r="E2483" s="27"/>
      <c r="F2483" s="42" t="s">
        <v>560</v>
      </c>
      <c r="G2483" s="28" t="str">
        <f t="shared" si="43"/>
        <v/>
      </c>
      <c r="H2483" s="29"/>
      <c r="I2483" s="30"/>
      <c r="J2483" s="155">
        <v>0</v>
      </c>
    </row>
    <row r="2484" spans="1:10" ht="15" hidden="1" thickBot="1" x14ac:dyDescent="0.35">
      <c r="A2484" s="229"/>
      <c r="B2484" s="224"/>
      <c r="C2484" s="32"/>
      <c r="D2484" s="32"/>
      <c r="E2484" s="33"/>
      <c r="F2484" s="43" t="s">
        <v>560</v>
      </c>
      <c r="G2484" s="34" t="str">
        <f t="shared" si="43"/>
        <v/>
      </c>
      <c r="H2484" s="35"/>
      <c r="I2484" s="31"/>
      <c r="J2484" s="155">
        <v>0</v>
      </c>
    </row>
    <row r="2485" spans="1:10" ht="27" hidden="1" thickBot="1" x14ac:dyDescent="0.35">
      <c r="A2485" s="229"/>
      <c r="B2485" s="224"/>
      <c r="C2485" s="36" t="s">
        <v>133</v>
      </c>
      <c r="D2485" s="47" t="s">
        <v>42</v>
      </c>
      <c r="E2485" s="37">
        <v>2.2000000000000002</v>
      </c>
      <c r="F2485" s="31">
        <v>8.1684999999999999</v>
      </c>
      <c r="G2485" s="34">
        <f t="shared" si="43"/>
        <v>17.970700000000001</v>
      </c>
      <c r="H2485" s="39">
        <f>SUM(G2485:G2485)</f>
        <v>17.970700000000001</v>
      </c>
      <c r="I2485" s="40"/>
      <c r="J2485" s="155">
        <v>0</v>
      </c>
    </row>
    <row r="2486" spans="1:10" ht="15" hidden="1" thickBot="1" x14ac:dyDescent="0.35">
      <c r="A2486" s="230"/>
      <c r="B2486" s="225"/>
      <c r="C2486" s="36"/>
      <c r="D2486" s="36"/>
      <c r="E2486" s="37"/>
      <c r="F2486" s="31" t="s">
        <v>560</v>
      </c>
      <c r="G2486" s="34" t="str">
        <f t="shared" si="43"/>
        <v/>
      </c>
      <c r="H2486" s="35"/>
      <c r="I2486" s="31"/>
      <c r="J2486" s="155">
        <v>0</v>
      </c>
    </row>
    <row r="2487" spans="1:10" ht="15" hidden="1" thickBot="1" x14ac:dyDescent="0.35">
      <c r="A2487" s="226" t="s">
        <v>1584</v>
      </c>
      <c r="B2487" s="223" t="e">
        <f>INDEX(#REF!,MATCH(Composições!A2487,#REF!,0),2)</f>
        <v>#REF!</v>
      </c>
      <c r="C2487" s="41"/>
      <c r="D2487" s="26" t="e">
        <f>TRIM(INDEX(#REF!,MATCH(Composições!A2487,#REF!,0),1))</f>
        <v>#REF!</v>
      </c>
      <c r="E2487" s="27"/>
      <c r="F2487" s="42" t="s">
        <v>560</v>
      </c>
      <c r="G2487" s="28" t="str">
        <f t="shared" si="43"/>
        <v/>
      </c>
      <c r="H2487" s="29"/>
      <c r="I2487" s="30"/>
      <c r="J2487" s="155">
        <v>0</v>
      </c>
    </row>
    <row r="2488" spans="1:10" ht="15" hidden="1" thickBot="1" x14ac:dyDescent="0.35">
      <c r="A2488" s="229"/>
      <c r="B2488" s="224"/>
      <c r="C2488" s="32"/>
      <c r="D2488" s="32"/>
      <c r="E2488" s="33"/>
      <c r="F2488" s="43" t="s">
        <v>560</v>
      </c>
      <c r="G2488" s="34" t="str">
        <f t="shared" si="43"/>
        <v/>
      </c>
      <c r="H2488" s="35"/>
      <c r="I2488" s="31"/>
      <c r="J2488" s="155">
        <v>0</v>
      </c>
    </row>
    <row r="2489" spans="1:10" ht="27" hidden="1" thickBot="1" x14ac:dyDescent="0.35">
      <c r="A2489" s="229"/>
      <c r="B2489" s="224"/>
      <c r="C2489" s="36" t="s">
        <v>133</v>
      </c>
      <c r="D2489" s="47" t="s">
        <v>42</v>
      </c>
      <c r="E2489" s="37">
        <v>2.46</v>
      </c>
      <c r="F2489" s="31">
        <v>8.1684999999999999</v>
      </c>
      <c r="G2489" s="34">
        <f t="shared" si="43"/>
        <v>20.09451</v>
      </c>
      <c r="H2489" s="39">
        <f>SUM(G2489:G2489)</f>
        <v>20.09451</v>
      </c>
      <c r="I2489" s="40"/>
      <c r="J2489" s="155">
        <v>0</v>
      </c>
    </row>
    <row r="2490" spans="1:10" ht="15" hidden="1" thickBot="1" x14ac:dyDescent="0.35">
      <c r="A2490" s="230"/>
      <c r="B2490" s="225"/>
      <c r="C2490" s="36"/>
      <c r="D2490" s="36"/>
      <c r="E2490" s="37"/>
      <c r="F2490" s="31" t="s">
        <v>560</v>
      </c>
      <c r="G2490" s="34" t="str">
        <f t="shared" si="43"/>
        <v/>
      </c>
      <c r="H2490" s="35"/>
      <c r="I2490" s="31"/>
      <c r="J2490" s="155">
        <v>0</v>
      </c>
    </row>
    <row r="2491" spans="1:10" ht="15" hidden="1" thickBot="1" x14ac:dyDescent="0.35">
      <c r="A2491" s="226" t="s">
        <v>1585</v>
      </c>
      <c r="B2491" s="223" t="e">
        <f>INDEX(#REF!,MATCH(Composições!A2491,#REF!,0),2)</f>
        <v>#REF!</v>
      </c>
      <c r="C2491" s="41"/>
      <c r="D2491" s="26" t="e">
        <f>TRIM(INDEX(#REF!,MATCH(Composições!A2491,#REF!,0),1))</f>
        <v>#REF!</v>
      </c>
      <c r="E2491" s="27"/>
      <c r="F2491" s="42" t="s">
        <v>560</v>
      </c>
      <c r="G2491" s="28" t="str">
        <f t="shared" si="43"/>
        <v/>
      </c>
      <c r="H2491" s="29"/>
      <c r="I2491" s="30"/>
      <c r="J2491" s="155">
        <v>0</v>
      </c>
    </row>
    <row r="2492" spans="1:10" ht="15" hidden="1" thickBot="1" x14ac:dyDescent="0.35">
      <c r="A2492" s="229"/>
      <c r="B2492" s="224"/>
      <c r="C2492" s="32"/>
      <c r="D2492" s="32"/>
      <c r="E2492" s="33"/>
      <c r="F2492" s="43" t="s">
        <v>560</v>
      </c>
      <c r="G2492" s="34" t="str">
        <f t="shared" si="43"/>
        <v/>
      </c>
      <c r="H2492" s="35"/>
      <c r="I2492" s="31"/>
      <c r="J2492" s="155">
        <v>0</v>
      </c>
    </row>
    <row r="2493" spans="1:10" ht="27" hidden="1" thickBot="1" x14ac:dyDescent="0.35">
      <c r="A2493" s="229"/>
      <c r="B2493" s="224"/>
      <c r="C2493" s="36" t="s">
        <v>133</v>
      </c>
      <c r="D2493" s="47" t="s">
        <v>42</v>
      </c>
      <c r="E2493" s="37">
        <v>3.63</v>
      </c>
      <c r="F2493" s="31">
        <v>8.1684999999999999</v>
      </c>
      <c r="G2493" s="34">
        <f t="shared" si="43"/>
        <v>29.651654999999998</v>
      </c>
      <c r="H2493" s="39">
        <f>SUM(G2493:G2493)</f>
        <v>29.651654999999998</v>
      </c>
      <c r="I2493" s="40"/>
      <c r="J2493" s="155">
        <v>0</v>
      </c>
    </row>
    <row r="2494" spans="1:10" ht="15" hidden="1" thickBot="1" x14ac:dyDescent="0.35">
      <c r="A2494" s="230"/>
      <c r="B2494" s="225"/>
      <c r="C2494" s="36"/>
      <c r="D2494" s="36"/>
      <c r="E2494" s="37"/>
      <c r="F2494" s="31" t="s">
        <v>560</v>
      </c>
      <c r="G2494" s="34" t="str">
        <f t="shared" si="43"/>
        <v/>
      </c>
      <c r="H2494" s="35"/>
      <c r="I2494" s="31"/>
      <c r="J2494" s="155">
        <v>0</v>
      </c>
    </row>
    <row r="2495" spans="1:10" ht="15" hidden="1" thickBot="1" x14ac:dyDescent="0.35">
      <c r="A2495" s="226" t="s">
        <v>1586</v>
      </c>
      <c r="B2495" s="223" t="e">
        <f>INDEX(#REF!,MATCH(Composições!A2495,#REF!,0),2)</f>
        <v>#REF!</v>
      </c>
      <c r="C2495" s="41"/>
      <c r="D2495" s="26" t="e">
        <f>TRIM(INDEX(#REF!,MATCH(Composições!A2495,#REF!,0),1))</f>
        <v>#REF!</v>
      </c>
      <c r="E2495" s="27"/>
      <c r="F2495" s="42" t="s">
        <v>560</v>
      </c>
      <c r="G2495" s="28" t="str">
        <f t="shared" si="43"/>
        <v/>
      </c>
      <c r="H2495" s="29"/>
      <c r="I2495" s="30"/>
      <c r="J2495" s="155">
        <v>0</v>
      </c>
    </row>
    <row r="2496" spans="1:10" ht="15" hidden="1" thickBot="1" x14ac:dyDescent="0.35">
      <c r="A2496" s="229"/>
      <c r="B2496" s="224"/>
      <c r="C2496" s="32"/>
      <c r="D2496" s="32"/>
      <c r="E2496" s="33"/>
      <c r="F2496" s="43" t="s">
        <v>560</v>
      </c>
      <c r="G2496" s="34" t="str">
        <f t="shared" si="43"/>
        <v/>
      </c>
      <c r="H2496" s="35"/>
      <c r="I2496" s="31"/>
      <c r="J2496" s="155">
        <v>0</v>
      </c>
    </row>
    <row r="2497" spans="1:10" ht="27" hidden="1" thickBot="1" x14ac:dyDescent="0.35">
      <c r="A2497" s="229"/>
      <c r="B2497" s="224"/>
      <c r="C2497" s="36" t="s">
        <v>133</v>
      </c>
      <c r="D2497" s="47" t="s">
        <v>42</v>
      </c>
      <c r="E2497" s="37">
        <v>0.71</v>
      </c>
      <c r="F2497" s="31">
        <v>8.1684999999999999</v>
      </c>
      <c r="G2497" s="34">
        <f t="shared" ref="G2497:G2560" si="44">IF(ISNUMBER(F2497),E2497*F2497,"")</f>
        <v>5.7996349999999994</v>
      </c>
      <c r="H2497" s="39">
        <f>SUM(G2497:G2497)</f>
        <v>5.7996349999999994</v>
      </c>
      <c r="I2497" s="40"/>
      <c r="J2497" s="155">
        <v>0</v>
      </c>
    </row>
    <row r="2498" spans="1:10" ht="15" hidden="1" thickBot="1" x14ac:dyDescent="0.35">
      <c r="A2498" s="230"/>
      <c r="B2498" s="225"/>
      <c r="C2498" s="36"/>
      <c r="D2498" s="36"/>
      <c r="E2498" s="37"/>
      <c r="F2498" s="31" t="s">
        <v>560</v>
      </c>
      <c r="G2498" s="34" t="str">
        <f t="shared" si="44"/>
        <v/>
      </c>
      <c r="H2498" s="35"/>
      <c r="I2498" s="31"/>
      <c r="J2498" s="155">
        <v>0</v>
      </c>
    </row>
    <row r="2499" spans="1:10" ht="15" hidden="1" thickBot="1" x14ac:dyDescent="0.35">
      <c r="A2499" s="226" t="s">
        <v>1587</v>
      </c>
      <c r="B2499" s="223" t="e">
        <f>INDEX(#REF!,MATCH(Composições!A2499,#REF!,0),2)</f>
        <v>#REF!</v>
      </c>
      <c r="C2499" s="41"/>
      <c r="D2499" s="26" t="e">
        <f>TRIM(INDEX(#REF!,MATCH(Composições!A2499,#REF!,0),1))</f>
        <v>#REF!</v>
      </c>
      <c r="E2499" s="27"/>
      <c r="F2499" s="42" t="s">
        <v>560</v>
      </c>
      <c r="G2499" s="28" t="str">
        <f t="shared" si="44"/>
        <v/>
      </c>
      <c r="H2499" s="29"/>
      <c r="I2499" s="30"/>
      <c r="J2499" s="155">
        <v>0</v>
      </c>
    </row>
    <row r="2500" spans="1:10" ht="15" hidden="1" thickBot="1" x14ac:dyDescent="0.35">
      <c r="A2500" s="229"/>
      <c r="B2500" s="224"/>
      <c r="C2500" s="32"/>
      <c r="D2500" s="32"/>
      <c r="E2500" s="33"/>
      <c r="F2500" s="43" t="s">
        <v>560</v>
      </c>
      <c r="G2500" s="34" t="str">
        <f t="shared" si="44"/>
        <v/>
      </c>
      <c r="H2500" s="35"/>
      <c r="I2500" s="31"/>
      <c r="J2500" s="155">
        <v>0</v>
      </c>
    </row>
    <row r="2501" spans="1:10" ht="27" hidden="1" thickBot="1" x14ac:dyDescent="0.35">
      <c r="A2501" s="229"/>
      <c r="B2501" s="224"/>
      <c r="C2501" s="36" t="s">
        <v>1722</v>
      </c>
      <c r="D2501" s="47" t="s">
        <v>42</v>
      </c>
      <c r="E2501" s="37">
        <v>1</v>
      </c>
      <c r="F2501" s="31">
        <v>12.75</v>
      </c>
      <c r="G2501" s="34">
        <f t="shared" si="44"/>
        <v>12.75</v>
      </c>
      <c r="H2501" s="39">
        <f>SUM(G2501:G2501)</f>
        <v>12.75</v>
      </c>
      <c r="I2501" s="40"/>
      <c r="J2501" s="155">
        <v>0</v>
      </c>
    </row>
    <row r="2502" spans="1:10" ht="15" hidden="1" thickBot="1" x14ac:dyDescent="0.35">
      <c r="A2502" s="230"/>
      <c r="B2502" s="225"/>
      <c r="C2502" s="36"/>
      <c r="D2502" s="36"/>
      <c r="E2502" s="37"/>
      <c r="F2502" s="31" t="s">
        <v>560</v>
      </c>
      <c r="G2502" s="34" t="str">
        <f t="shared" si="44"/>
        <v/>
      </c>
      <c r="H2502" s="35"/>
      <c r="I2502" s="31"/>
      <c r="J2502" s="155">
        <v>0</v>
      </c>
    </row>
    <row r="2503" spans="1:10" ht="15" hidden="1" thickBot="1" x14ac:dyDescent="0.35">
      <c r="A2503" s="226" t="s">
        <v>1588</v>
      </c>
      <c r="B2503" s="223" t="e">
        <f>INDEX(#REF!,MATCH(Composições!A2503,#REF!,0),2)</f>
        <v>#REF!</v>
      </c>
      <c r="C2503" s="41"/>
      <c r="D2503" s="26" t="e">
        <f>TRIM(INDEX(#REF!,MATCH(Composições!A2503,#REF!,0),1))</f>
        <v>#REF!</v>
      </c>
      <c r="E2503" s="27"/>
      <c r="F2503" s="42" t="s">
        <v>560</v>
      </c>
      <c r="G2503" s="28" t="str">
        <f t="shared" si="44"/>
        <v/>
      </c>
      <c r="H2503" s="29"/>
      <c r="I2503" s="30"/>
      <c r="J2503" s="155">
        <v>0</v>
      </c>
    </row>
    <row r="2504" spans="1:10" ht="15" hidden="1" thickBot="1" x14ac:dyDescent="0.35">
      <c r="A2504" s="229"/>
      <c r="B2504" s="224"/>
      <c r="C2504" s="32"/>
      <c r="D2504" s="32"/>
      <c r="E2504" s="33"/>
      <c r="F2504" s="43" t="s">
        <v>560</v>
      </c>
      <c r="G2504" s="34" t="str">
        <f t="shared" si="44"/>
        <v/>
      </c>
      <c r="H2504" s="35"/>
      <c r="I2504" s="31"/>
      <c r="J2504" s="155">
        <v>0</v>
      </c>
    </row>
    <row r="2505" spans="1:10" ht="15" hidden="1" thickBot="1" x14ac:dyDescent="0.35">
      <c r="A2505" s="229"/>
      <c r="B2505" s="224"/>
      <c r="C2505" s="36" t="s">
        <v>2024</v>
      </c>
      <c r="D2505" s="47" t="s">
        <v>42</v>
      </c>
      <c r="E2505" s="37">
        <v>0.63</v>
      </c>
      <c r="F2505" s="31">
        <v>10.965</v>
      </c>
      <c r="G2505" s="34">
        <f t="shared" si="44"/>
        <v>6.9079499999999996</v>
      </c>
      <c r="H2505" s="39">
        <f>SUM(G2505:G2505)</f>
        <v>6.9079499999999996</v>
      </c>
      <c r="I2505" s="40"/>
      <c r="J2505" s="155">
        <v>0</v>
      </c>
    </row>
    <row r="2506" spans="1:10" ht="15" hidden="1" thickBot="1" x14ac:dyDescent="0.35">
      <c r="A2506" s="230"/>
      <c r="B2506" s="225"/>
      <c r="C2506" s="36"/>
      <c r="D2506" s="36"/>
      <c r="E2506" s="37"/>
      <c r="F2506" s="31" t="s">
        <v>560</v>
      </c>
      <c r="G2506" s="34" t="str">
        <f t="shared" si="44"/>
        <v/>
      </c>
      <c r="H2506" s="35"/>
      <c r="I2506" s="31"/>
      <c r="J2506" s="155">
        <v>0</v>
      </c>
    </row>
    <row r="2507" spans="1:10" ht="15" hidden="1" thickBot="1" x14ac:dyDescent="0.35">
      <c r="A2507" s="226" t="s">
        <v>1589</v>
      </c>
      <c r="B2507" s="223" t="e">
        <f>INDEX(#REF!,MATCH(Composições!A2507,#REF!,0),2)</f>
        <v>#REF!</v>
      </c>
      <c r="C2507" s="41"/>
      <c r="D2507" s="26" t="e">
        <f>TRIM(INDEX(#REF!,MATCH(Composições!A2507,#REF!,0),1))</f>
        <v>#REF!</v>
      </c>
      <c r="E2507" s="27"/>
      <c r="F2507" s="42" t="s">
        <v>560</v>
      </c>
      <c r="G2507" s="28" t="str">
        <f t="shared" si="44"/>
        <v/>
      </c>
      <c r="H2507" s="29"/>
      <c r="I2507" s="30"/>
      <c r="J2507" s="155">
        <v>0</v>
      </c>
    </row>
    <row r="2508" spans="1:10" ht="15" hidden="1" thickBot="1" x14ac:dyDescent="0.35">
      <c r="A2508" s="229"/>
      <c r="B2508" s="224"/>
      <c r="C2508" s="32"/>
      <c r="D2508" s="32"/>
      <c r="E2508" s="33"/>
      <c r="F2508" s="43" t="s">
        <v>560</v>
      </c>
      <c r="G2508" s="34" t="str">
        <f t="shared" si="44"/>
        <v/>
      </c>
      <c r="H2508" s="35"/>
      <c r="I2508" s="31"/>
      <c r="J2508" s="155">
        <v>0</v>
      </c>
    </row>
    <row r="2509" spans="1:10" ht="15" hidden="1" thickBot="1" x14ac:dyDescent="0.35">
      <c r="A2509" s="229"/>
      <c r="B2509" s="224"/>
      <c r="C2509" s="36" t="s">
        <v>2024</v>
      </c>
      <c r="D2509" s="47" t="s">
        <v>42</v>
      </c>
      <c r="E2509" s="37">
        <v>0.95</v>
      </c>
      <c r="F2509" s="31">
        <v>10.965</v>
      </c>
      <c r="G2509" s="34">
        <f t="shared" si="44"/>
        <v>10.416749999999999</v>
      </c>
      <c r="H2509" s="39">
        <f>SUM(G2509:G2509)</f>
        <v>10.416749999999999</v>
      </c>
      <c r="I2509" s="40"/>
      <c r="J2509" s="155">
        <v>0</v>
      </c>
    </row>
    <row r="2510" spans="1:10" ht="15" hidden="1" thickBot="1" x14ac:dyDescent="0.35">
      <c r="A2510" s="230"/>
      <c r="B2510" s="225"/>
      <c r="C2510" s="36"/>
      <c r="D2510" s="36"/>
      <c r="E2510" s="37"/>
      <c r="F2510" s="31" t="s">
        <v>560</v>
      </c>
      <c r="G2510" s="34" t="str">
        <f t="shared" si="44"/>
        <v/>
      </c>
      <c r="H2510" s="35"/>
      <c r="I2510" s="31"/>
      <c r="J2510" s="155">
        <v>0</v>
      </c>
    </row>
    <row r="2511" spans="1:10" ht="15" hidden="1" thickBot="1" x14ac:dyDescent="0.35">
      <c r="A2511" s="226" t="s">
        <v>1590</v>
      </c>
      <c r="B2511" s="223" t="e">
        <f>INDEX(#REF!,MATCH(Composições!A2511,#REF!,0),2)</f>
        <v>#REF!</v>
      </c>
      <c r="C2511" s="41"/>
      <c r="D2511" s="26" t="e">
        <f>TRIM(INDEX(#REF!,MATCH(Composições!A2511,#REF!,0),1))</f>
        <v>#REF!</v>
      </c>
      <c r="E2511" s="27"/>
      <c r="F2511" s="42" t="s">
        <v>560</v>
      </c>
      <c r="G2511" s="28" t="str">
        <f t="shared" si="44"/>
        <v/>
      </c>
      <c r="H2511" s="29"/>
      <c r="I2511" s="30"/>
      <c r="J2511" s="155">
        <v>0</v>
      </c>
    </row>
    <row r="2512" spans="1:10" ht="15" hidden="1" thickBot="1" x14ac:dyDescent="0.35">
      <c r="A2512" s="229"/>
      <c r="B2512" s="224"/>
      <c r="C2512" s="32"/>
      <c r="D2512" s="32"/>
      <c r="E2512" s="33"/>
      <c r="F2512" s="43" t="s">
        <v>560</v>
      </c>
      <c r="G2512" s="34" t="str">
        <f t="shared" si="44"/>
        <v/>
      </c>
      <c r="H2512" s="35"/>
      <c r="I2512" s="31"/>
      <c r="J2512" s="155">
        <v>0</v>
      </c>
    </row>
    <row r="2513" spans="1:10" ht="15" hidden="1" thickBot="1" x14ac:dyDescent="0.35">
      <c r="A2513" s="229"/>
      <c r="B2513" s="224"/>
      <c r="C2513" s="36" t="s">
        <v>2024</v>
      </c>
      <c r="D2513" s="47" t="s">
        <v>42</v>
      </c>
      <c r="E2513" s="37">
        <v>1.1100000000000001</v>
      </c>
      <c r="F2513" s="31">
        <v>10.965</v>
      </c>
      <c r="G2513" s="34">
        <f t="shared" si="44"/>
        <v>12.171150000000001</v>
      </c>
      <c r="H2513" s="39">
        <f>SUM(G2513:G2513)</f>
        <v>12.171150000000001</v>
      </c>
      <c r="I2513" s="40"/>
      <c r="J2513" s="155">
        <v>0</v>
      </c>
    </row>
    <row r="2514" spans="1:10" ht="15" hidden="1" thickBot="1" x14ac:dyDescent="0.35">
      <c r="A2514" s="230"/>
      <c r="B2514" s="225"/>
      <c r="C2514" s="36"/>
      <c r="D2514" s="36"/>
      <c r="E2514" s="37"/>
      <c r="F2514" s="31" t="s">
        <v>560</v>
      </c>
      <c r="G2514" s="34" t="str">
        <f t="shared" si="44"/>
        <v/>
      </c>
      <c r="H2514" s="35"/>
      <c r="I2514" s="31"/>
      <c r="J2514" s="155">
        <v>0</v>
      </c>
    </row>
    <row r="2515" spans="1:10" ht="15" hidden="1" thickBot="1" x14ac:dyDescent="0.35">
      <c r="A2515" s="226" t="s">
        <v>1591</v>
      </c>
      <c r="B2515" s="223" t="e">
        <f>INDEX(#REF!,MATCH(Composições!A2515,#REF!,0),2)</f>
        <v>#REF!</v>
      </c>
      <c r="C2515" s="41"/>
      <c r="D2515" s="26" t="e">
        <f>TRIM(INDEX(#REF!,MATCH(Composições!A2515,#REF!,0),1))</f>
        <v>#REF!</v>
      </c>
      <c r="E2515" s="27"/>
      <c r="F2515" s="42" t="s">
        <v>560</v>
      </c>
      <c r="G2515" s="28" t="str">
        <f t="shared" si="44"/>
        <v/>
      </c>
      <c r="H2515" s="29"/>
      <c r="I2515" s="30"/>
      <c r="J2515" s="155">
        <v>0</v>
      </c>
    </row>
    <row r="2516" spans="1:10" ht="15" hidden="1" thickBot="1" x14ac:dyDescent="0.35">
      <c r="A2516" s="229"/>
      <c r="B2516" s="224"/>
      <c r="C2516" s="32"/>
      <c r="D2516" s="32"/>
      <c r="E2516" s="33"/>
      <c r="F2516" s="43" t="s">
        <v>560</v>
      </c>
      <c r="G2516" s="34" t="str">
        <f t="shared" si="44"/>
        <v/>
      </c>
      <c r="H2516" s="35"/>
      <c r="I2516" s="31"/>
      <c r="J2516" s="155">
        <v>0</v>
      </c>
    </row>
    <row r="2517" spans="1:10" ht="15" hidden="1" thickBot="1" x14ac:dyDescent="0.35">
      <c r="A2517" s="229"/>
      <c r="B2517" s="224"/>
      <c r="C2517" s="36" t="s">
        <v>2024</v>
      </c>
      <c r="D2517" s="47" t="s">
        <v>42</v>
      </c>
      <c r="E2517" s="37">
        <v>0.48</v>
      </c>
      <c r="F2517" s="31">
        <v>10.965</v>
      </c>
      <c r="G2517" s="34">
        <f t="shared" si="44"/>
        <v>5.2631999999999994</v>
      </c>
      <c r="H2517" s="39">
        <f>SUM(G2517:G2517)</f>
        <v>5.2631999999999994</v>
      </c>
      <c r="I2517" s="40"/>
      <c r="J2517" s="155">
        <v>0</v>
      </c>
    </row>
    <row r="2518" spans="1:10" ht="15" hidden="1" thickBot="1" x14ac:dyDescent="0.35">
      <c r="A2518" s="230"/>
      <c r="B2518" s="225"/>
      <c r="C2518" s="36"/>
      <c r="D2518" s="36"/>
      <c r="E2518" s="37"/>
      <c r="F2518" s="31" t="s">
        <v>560</v>
      </c>
      <c r="G2518" s="34" t="str">
        <f t="shared" si="44"/>
        <v/>
      </c>
      <c r="H2518" s="35"/>
      <c r="I2518" s="31"/>
      <c r="J2518" s="155">
        <v>0</v>
      </c>
    </row>
    <row r="2519" spans="1:10" ht="15" hidden="1" thickBot="1" x14ac:dyDescent="0.35">
      <c r="A2519" s="226" t="s">
        <v>1592</v>
      </c>
      <c r="B2519" s="223" t="e">
        <f>INDEX(#REF!,MATCH(Composições!A2519,#REF!,0),2)</f>
        <v>#REF!</v>
      </c>
      <c r="C2519" s="41"/>
      <c r="D2519" s="26" t="e">
        <f>TRIM(INDEX(#REF!,MATCH(Composições!A2519,#REF!,0),1))</f>
        <v>#REF!</v>
      </c>
      <c r="E2519" s="27"/>
      <c r="F2519" s="42" t="s">
        <v>560</v>
      </c>
      <c r="G2519" s="28" t="str">
        <f t="shared" si="44"/>
        <v/>
      </c>
      <c r="H2519" s="29"/>
      <c r="I2519" s="30"/>
      <c r="J2519" s="155">
        <v>0</v>
      </c>
    </row>
    <row r="2520" spans="1:10" ht="15" hidden="1" thickBot="1" x14ac:dyDescent="0.35">
      <c r="A2520" s="229"/>
      <c r="B2520" s="224"/>
      <c r="C2520" s="32"/>
      <c r="D2520" s="32"/>
      <c r="E2520" s="33"/>
      <c r="F2520" s="43" t="s">
        <v>560</v>
      </c>
      <c r="G2520" s="34" t="str">
        <f t="shared" si="44"/>
        <v/>
      </c>
      <c r="H2520" s="35"/>
      <c r="I2520" s="31"/>
      <c r="J2520" s="155">
        <v>0</v>
      </c>
    </row>
    <row r="2521" spans="1:10" ht="15" hidden="1" thickBot="1" x14ac:dyDescent="0.35">
      <c r="A2521" s="229"/>
      <c r="B2521" s="224"/>
      <c r="C2521" s="36" t="s">
        <v>2024</v>
      </c>
      <c r="D2521" s="47" t="s">
        <v>42</v>
      </c>
      <c r="E2521" s="37">
        <v>0.71</v>
      </c>
      <c r="F2521" s="31">
        <v>10.965</v>
      </c>
      <c r="G2521" s="34">
        <f t="shared" si="44"/>
        <v>7.7851499999999998</v>
      </c>
      <c r="H2521" s="39">
        <f>SUM(G2521:G2521)</f>
        <v>7.7851499999999998</v>
      </c>
      <c r="I2521" s="40"/>
      <c r="J2521" s="155">
        <v>0</v>
      </c>
    </row>
    <row r="2522" spans="1:10" ht="15" hidden="1" thickBot="1" x14ac:dyDescent="0.35">
      <c r="A2522" s="230"/>
      <c r="B2522" s="225"/>
      <c r="C2522" s="36"/>
      <c r="D2522" s="36"/>
      <c r="E2522" s="37"/>
      <c r="F2522" s="31" t="s">
        <v>560</v>
      </c>
      <c r="G2522" s="34" t="str">
        <f t="shared" si="44"/>
        <v/>
      </c>
      <c r="H2522" s="35"/>
      <c r="I2522" s="31"/>
      <c r="J2522" s="155">
        <v>0</v>
      </c>
    </row>
    <row r="2523" spans="1:10" ht="15" hidden="1" thickBot="1" x14ac:dyDescent="0.35">
      <c r="A2523" s="226" t="s">
        <v>1593</v>
      </c>
      <c r="B2523" s="223" t="e">
        <f>INDEX(#REF!,MATCH(Composições!A2523,#REF!,0),2)</f>
        <v>#REF!</v>
      </c>
      <c r="C2523" s="41"/>
      <c r="D2523" s="26" t="e">
        <f>TRIM(INDEX(#REF!,MATCH(Composições!A2523,#REF!,0),1))</f>
        <v>#REF!</v>
      </c>
      <c r="E2523" s="27"/>
      <c r="F2523" s="42" t="s">
        <v>560</v>
      </c>
      <c r="G2523" s="28" t="str">
        <f t="shared" si="44"/>
        <v/>
      </c>
      <c r="H2523" s="29"/>
      <c r="I2523" s="30"/>
      <c r="J2523" s="155">
        <v>0</v>
      </c>
    </row>
    <row r="2524" spans="1:10" ht="15" hidden="1" thickBot="1" x14ac:dyDescent="0.35">
      <c r="A2524" s="229"/>
      <c r="B2524" s="224"/>
      <c r="C2524" s="32"/>
      <c r="D2524" s="32"/>
      <c r="E2524" s="33"/>
      <c r="F2524" s="43" t="s">
        <v>560</v>
      </c>
      <c r="G2524" s="34" t="str">
        <f t="shared" si="44"/>
        <v/>
      </c>
      <c r="H2524" s="35"/>
      <c r="I2524" s="31"/>
      <c r="J2524" s="155">
        <v>0</v>
      </c>
    </row>
    <row r="2525" spans="1:10" ht="15" hidden="1" thickBot="1" x14ac:dyDescent="0.35">
      <c r="A2525" s="229"/>
      <c r="B2525" s="224"/>
      <c r="C2525" s="36" t="s">
        <v>2024</v>
      </c>
      <c r="D2525" s="47" t="s">
        <v>42</v>
      </c>
      <c r="E2525" s="37">
        <v>0.4</v>
      </c>
      <c r="F2525" s="31">
        <v>10.965</v>
      </c>
      <c r="G2525" s="34">
        <f t="shared" si="44"/>
        <v>4.3860000000000001</v>
      </c>
      <c r="H2525" s="39">
        <f>SUM(G2525:G2525)</f>
        <v>4.3860000000000001</v>
      </c>
      <c r="I2525" s="40"/>
      <c r="J2525" s="155">
        <v>0</v>
      </c>
    </row>
    <row r="2526" spans="1:10" ht="15" hidden="1" thickBot="1" x14ac:dyDescent="0.35">
      <c r="A2526" s="230"/>
      <c r="B2526" s="225"/>
      <c r="C2526" s="36"/>
      <c r="D2526" s="36"/>
      <c r="E2526" s="37"/>
      <c r="F2526" s="31" t="s">
        <v>560</v>
      </c>
      <c r="G2526" s="34" t="str">
        <f t="shared" si="44"/>
        <v/>
      </c>
      <c r="H2526" s="35"/>
      <c r="I2526" s="31"/>
      <c r="J2526" s="155">
        <v>0</v>
      </c>
    </row>
    <row r="2527" spans="1:10" ht="15" hidden="1" thickBot="1" x14ac:dyDescent="0.35">
      <c r="A2527" s="226" t="s">
        <v>1594</v>
      </c>
      <c r="B2527" s="223" t="e">
        <f>INDEX(#REF!,MATCH(Composições!A2527,#REF!,0),2)</f>
        <v>#REF!</v>
      </c>
      <c r="C2527" s="41"/>
      <c r="D2527" s="26" t="e">
        <f>TRIM(INDEX(#REF!,MATCH(Composições!A2527,#REF!,0),1))</f>
        <v>#REF!</v>
      </c>
      <c r="E2527" s="27"/>
      <c r="F2527" s="42" t="s">
        <v>560</v>
      </c>
      <c r="G2527" s="28" t="str">
        <f t="shared" si="44"/>
        <v/>
      </c>
      <c r="H2527" s="29"/>
      <c r="I2527" s="30"/>
      <c r="J2527" s="155">
        <v>0</v>
      </c>
    </row>
    <row r="2528" spans="1:10" ht="15" hidden="1" thickBot="1" x14ac:dyDescent="0.35">
      <c r="A2528" s="229"/>
      <c r="B2528" s="224"/>
      <c r="C2528" s="32"/>
      <c r="D2528" s="32"/>
      <c r="E2528" s="33"/>
      <c r="F2528" s="43" t="s">
        <v>560</v>
      </c>
      <c r="G2528" s="34" t="str">
        <f t="shared" si="44"/>
        <v/>
      </c>
      <c r="H2528" s="35"/>
      <c r="I2528" s="31"/>
      <c r="J2528" s="155">
        <v>0</v>
      </c>
    </row>
    <row r="2529" spans="1:10" ht="15" hidden="1" thickBot="1" x14ac:dyDescent="0.35">
      <c r="A2529" s="229"/>
      <c r="B2529" s="224"/>
      <c r="C2529" s="36" t="s">
        <v>2024</v>
      </c>
      <c r="D2529" s="47" t="s">
        <v>42</v>
      </c>
      <c r="E2529" s="37">
        <v>0.79</v>
      </c>
      <c r="F2529" s="31">
        <v>10.965</v>
      </c>
      <c r="G2529" s="34">
        <f t="shared" si="44"/>
        <v>8.66235</v>
      </c>
      <c r="H2529" s="39">
        <f>SUM(G2529:G2529)</f>
        <v>8.66235</v>
      </c>
      <c r="I2529" s="40"/>
      <c r="J2529" s="155">
        <v>0</v>
      </c>
    </row>
    <row r="2530" spans="1:10" ht="15" hidden="1" thickBot="1" x14ac:dyDescent="0.35">
      <c r="A2530" s="230"/>
      <c r="B2530" s="225"/>
      <c r="C2530" s="36"/>
      <c r="D2530" s="36"/>
      <c r="E2530" s="37"/>
      <c r="F2530" s="31" t="s">
        <v>560</v>
      </c>
      <c r="G2530" s="34" t="str">
        <f t="shared" si="44"/>
        <v/>
      </c>
      <c r="H2530" s="35"/>
      <c r="I2530" s="31"/>
      <c r="J2530" s="155">
        <v>0</v>
      </c>
    </row>
    <row r="2531" spans="1:10" ht="15" hidden="1" thickBot="1" x14ac:dyDescent="0.35">
      <c r="A2531" s="226" t="s">
        <v>1595</v>
      </c>
      <c r="B2531" s="223" t="e">
        <f>INDEX(#REF!,MATCH(Composições!A2531,#REF!,0),2)</f>
        <v>#REF!</v>
      </c>
      <c r="C2531" s="41"/>
      <c r="D2531" s="26" t="e">
        <f>TRIM(INDEX(#REF!,MATCH(Composições!A2531,#REF!,0),1))</f>
        <v>#REF!</v>
      </c>
      <c r="E2531" s="27"/>
      <c r="F2531" s="42" t="s">
        <v>560</v>
      </c>
      <c r="G2531" s="28" t="str">
        <f t="shared" si="44"/>
        <v/>
      </c>
      <c r="H2531" s="29"/>
      <c r="I2531" s="30"/>
      <c r="J2531" s="155">
        <v>0</v>
      </c>
    </row>
    <row r="2532" spans="1:10" ht="15" hidden="1" thickBot="1" x14ac:dyDescent="0.35">
      <c r="A2532" s="229"/>
      <c r="B2532" s="224"/>
      <c r="C2532" s="32"/>
      <c r="D2532" s="32"/>
      <c r="E2532" s="33"/>
      <c r="F2532" s="43" t="s">
        <v>560</v>
      </c>
      <c r="G2532" s="34" t="str">
        <f t="shared" si="44"/>
        <v/>
      </c>
      <c r="H2532" s="35"/>
      <c r="I2532" s="31"/>
      <c r="J2532" s="155">
        <v>0</v>
      </c>
    </row>
    <row r="2533" spans="1:10" ht="15" hidden="1" thickBot="1" x14ac:dyDescent="0.35">
      <c r="A2533" s="229"/>
      <c r="B2533" s="224"/>
      <c r="C2533" s="36" t="s">
        <v>2024</v>
      </c>
      <c r="D2533" s="47" t="s">
        <v>42</v>
      </c>
      <c r="E2533" s="37">
        <v>0.55000000000000004</v>
      </c>
      <c r="F2533" s="31">
        <v>10.965</v>
      </c>
      <c r="G2533" s="34">
        <f t="shared" si="44"/>
        <v>6.0307500000000003</v>
      </c>
      <c r="H2533" s="39">
        <f>SUM(G2533:G2533)</f>
        <v>6.0307500000000003</v>
      </c>
      <c r="I2533" s="40"/>
      <c r="J2533" s="155">
        <v>0</v>
      </c>
    </row>
    <row r="2534" spans="1:10" ht="15" hidden="1" thickBot="1" x14ac:dyDescent="0.35">
      <c r="A2534" s="230"/>
      <c r="B2534" s="225"/>
      <c r="C2534" s="36"/>
      <c r="D2534" s="36"/>
      <c r="E2534" s="37"/>
      <c r="F2534" s="31" t="s">
        <v>560</v>
      </c>
      <c r="G2534" s="34" t="str">
        <f t="shared" si="44"/>
        <v/>
      </c>
      <c r="H2534" s="35"/>
      <c r="I2534" s="31"/>
      <c r="J2534" s="155">
        <v>0</v>
      </c>
    </row>
    <row r="2535" spans="1:10" ht="15" hidden="1" thickBot="1" x14ac:dyDescent="0.35">
      <c r="A2535" s="226" t="s">
        <v>1596</v>
      </c>
      <c r="B2535" s="223" t="e">
        <f>INDEX(#REF!,MATCH(Composições!A2535,#REF!,0),2)</f>
        <v>#REF!</v>
      </c>
      <c r="C2535" s="41"/>
      <c r="D2535" s="26" t="e">
        <f>TRIM(INDEX(#REF!,MATCH(Composições!A2535,#REF!,0),1))</f>
        <v>#REF!</v>
      </c>
      <c r="E2535" s="27"/>
      <c r="F2535" s="42" t="s">
        <v>560</v>
      </c>
      <c r="G2535" s="28" t="str">
        <f t="shared" si="44"/>
        <v/>
      </c>
      <c r="H2535" s="29"/>
      <c r="I2535" s="30"/>
      <c r="J2535" s="155">
        <v>0</v>
      </c>
    </row>
    <row r="2536" spans="1:10" ht="15" hidden="1" thickBot="1" x14ac:dyDescent="0.35">
      <c r="A2536" s="229"/>
      <c r="B2536" s="224"/>
      <c r="C2536" s="32"/>
      <c r="D2536" s="32"/>
      <c r="E2536" s="33"/>
      <c r="F2536" s="43" t="s">
        <v>560</v>
      </c>
      <c r="G2536" s="34" t="str">
        <f t="shared" si="44"/>
        <v/>
      </c>
      <c r="H2536" s="35"/>
      <c r="I2536" s="31"/>
      <c r="J2536" s="155">
        <v>0</v>
      </c>
    </row>
    <row r="2537" spans="1:10" ht="15" hidden="1" thickBot="1" x14ac:dyDescent="0.35">
      <c r="A2537" s="229"/>
      <c r="B2537" s="224"/>
      <c r="C2537" s="36" t="s">
        <v>2024</v>
      </c>
      <c r="D2537" s="47" t="s">
        <v>42</v>
      </c>
      <c r="E2537" s="37">
        <v>0.83</v>
      </c>
      <c r="F2537" s="31">
        <v>10.965</v>
      </c>
      <c r="G2537" s="34">
        <f t="shared" si="44"/>
        <v>9.1009499999999992</v>
      </c>
      <c r="H2537" s="39">
        <f>SUM(G2537:G2537)</f>
        <v>9.1009499999999992</v>
      </c>
      <c r="I2537" s="40"/>
      <c r="J2537" s="155">
        <v>0</v>
      </c>
    </row>
    <row r="2538" spans="1:10" ht="15" hidden="1" thickBot="1" x14ac:dyDescent="0.35">
      <c r="A2538" s="230"/>
      <c r="B2538" s="225"/>
      <c r="C2538" s="36"/>
      <c r="D2538" s="36"/>
      <c r="E2538" s="37"/>
      <c r="F2538" s="31" t="s">
        <v>560</v>
      </c>
      <c r="G2538" s="34" t="str">
        <f t="shared" si="44"/>
        <v/>
      </c>
      <c r="H2538" s="35"/>
      <c r="I2538" s="31"/>
      <c r="J2538" s="155">
        <v>0</v>
      </c>
    </row>
    <row r="2539" spans="1:10" ht="15" hidden="1" thickBot="1" x14ac:dyDescent="0.35">
      <c r="A2539" s="226" t="s">
        <v>1597</v>
      </c>
      <c r="B2539" s="223" t="e">
        <f>INDEX(#REF!,MATCH(Composições!A2539,#REF!,0),2)</f>
        <v>#REF!</v>
      </c>
      <c r="C2539" s="41"/>
      <c r="D2539" s="26" t="e">
        <f>TRIM(INDEX(#REF!,MATCH(Composições!A2539,#REF!,0),1))</f>
        <v>#REF!</v>
      </c>
      <c r="E2539" s="27"/>
      <c r="F2539" s="42" t="s">
        <v>560</v>
      </c>
      <c r="G2539" s="28" t="str">
        <f t="shared" si="44"/>
        <v/>
      </c>
      <c r="H2539" s="29"/>
      <c r="I2539" s="30"/>
      <c r="J2539" s="155">
        <v>0</v>
      </c>
    </row>
    <row r="2540" spans="1:10" ht="15" hidden="1" thickBot="1" x14ac:dyDescent="0.35">
      <c r="A2540" s="229"/>
      <c r="B2540" s="224"/>
      <c r="C2540" s="32"/>
      <c r="D2540" s="32"/>
      <c r="E2540" s="33"/>
      <c r="F2540" s="43" t="s">
        <v>560</v>
      </c>
      <c r="G2540" s="34" t="str">
        <f t="shared" si="44"/>
        <v/>
      </c>
      <c r="H2540" s="35"/>
      <c r="I2540" s="31"/>
      <c r="J2540" s="155">
        <v>0</v>
      </c>
    </row>
    <row r="2541" spans="1:10" ht="15" hidden="1" thickBot="1" x14ac:dyDescent="0.35">
      <c r="A2541" s="229"/>
      <c r="B2541" s="224"/>
      <c r="C2541" s="36" t="s">
        <v>1843</v>
      </c>
      <c r="D2541" s="47" t="s">
        <v>95</v>
      </c>
      <c r="E2541" s="37">
        <v>1</v>
      </c>
      <c r="F2541" s="31">
        <v>4.8534999999999995</v>
      </c>
      <c r="G2541" s="34">
        <f t="shared" si="44"/>
        <v>4.8534999999999995</v>
      </c>
      <c r="H2541" s="39">
        <f>SUM(G2541:G2541)</f>
        <v>4.8534999999999995</v>
      </c>
      <c r="I2541" s="40"/>
      <c r="J2541" s="155">
        <v>0</v>
      </c>
    </row>
    <row r="2542" spans="1:10" ht="15" hidden="1" thickBot="1" x14ac:dyDescent="0.35">
      <c r="A2542" s="230"/>
      <c r="B2542" s="225"/>
      <c r="C2542" s="36"/>
      <c r="D2542" s="36"/>
      <c r="E2542" s="37"/>
      <c r="F2542" s="31" t="s">
        <v>560</v>
      </c>
      <c r="G2542" s="34" t="str">
        <f t="shared" si="44"/>
        <v/>
      </c>
      <c r="H2542" s="35"/>
      <c r="I2542" s="31"/>
      <c r="J2542" s="155">
        <v>0</v>
      </c>
    </row>
    <row r="2543" spans="1:10" ht="15" hidden="1" thickBot="1" x14ac:dyDescent="0.35">
      <c r="A2543" s="226" t="s">
        <v>1598</v>
      </c>
      <c r="B2543" s="223" t="e">
        <f>INDEX(#REF!,MATCH(Composições!A2543,#REF!,0),2)</f>
        <v>#REF!</v>
      </c>
      <c r="C2543" s="41"/>
      <c r="D2543" s="26" t="e">
        <f>TRIM(INDEX(#REF!,MATCH(Composições!A2543,#REF!,0),1))</f>
        <v>#REF!</v>
      </c>
      <c r="E2543" s="27"/>
      <c r="F2543" s="42" t="s">
        <v>560</v>
      </c>
      <c r="G2543" s="28" t="str">
        <f t="shared" si="44"/>
        <v/>
      </c>
      <c r="H2543" s="29"/>
      <c r="I2543" s="30"/>
      <c r="J2543" s="155">
        <v>0</v>
      </c>
    </row>
    <row r="2544" spans="1:10" ht="15" hidden="1" thickBot="1" x14ac:dyDescent="0.35">
      <c r="A2544" s="229"/>
      <c r="B2544" s="224"/>
      <c r="C2544" s="32"/>
      <c r="D2544" s="32"/>
      <c r="E2544" s="33"/>
      <c r="F2544" s="43" t="s">
        <v>560</v>
      </c>
      <c r="G2544" s="34" t="str">
        <f t="shared" si="44"/>
        <v/>
      </c>
      <c r="H2544" s="35"/>
      <c r="I2544" s="31"/>
      <c r="J2544" s="155">
        <v>0</v>
      </c>
    </row>
    <row r="2545" spans="1:10" ht="15" hidden="1" thickBot="1" x14ac:dyDescent="0.35">
      <c r="A2545" s="229"/>
      <c r="B2545" s="224"/>
      <c r="C2545" s="36" t="s">
        <v>1708</v>
      </c>
      <c r="D2545" s="47" t="s">
        <v>42</v>
      </c>
      <c r="E2545" s="37">
        <v>1</v>
      </c>
      <c r="F2545" s="31">
        <v>25.585000000000001</v>
      </c>
      <c r="G2545" s="34">
        <f t="shared" si="44"/>
        <v>25.585000000000001</v>
      </c>
      <c r="H2545" s="39">
        <f>SUM(G2545:G2545)</f>
        <v>25.585000000000001</v>
      </c>
      <c r="I2545" s="40"/>
      <c r="J2545" s="155">
        <v>0</v>
      </c>
    </row>
    <row r="2546" spans="1:10" ht="15" hidden="1" thickBot="1" x14ac:dyDescent="0.35">
      <c r="A2546" s="230"/>
      <c r="B2546" s="225"/>
      <c r="C2546" s="36"/>
      <c r="D2546" s="36"/>
      <c r="E2546" s="37"/>
      <c r="F2546" s="31" t="s">
        <v>560</v>
      </c>
      <c r="G2546" s="34" t="str">
        <f t="shared" si="44"/>
        <v/>
      </c>
      <c r="H2546" s="35"/>
      <c r="I2546" s="31"/>
      <c r="J2546" s="155">
        <v>0</v>
      </c>
    </row>
    <row r="2547" spans="1:10" ht="15" hidden="1" thickBot="1" x14ac:dyDescent="0.35">
      <c r="A2547" s="226" t="s">
        <v>1599</v>
      </c>
      <c r="B2547" s="223" t="e">
        <f>INDEX(#REF!,MATCH(Composições!A2547,#REF!,0),2)</f>
        <v>#REF!</v>
      </c>
      <c r="C2547" s="41"/>
      <c r="D2547" s="26" t="e">
        <f>TRIM(INDEX(#REF!,MATCH(Composições!A2547,#REF!,0),1))</f>
        <v>#REF!</v>
      </c>
      <c r="E2547" s="27"/>
      <c r="F2547" s="42" t="s">
        <v>560</v>
      </c>
      <c r="G2547" s="28" t="str">
        <f t="shared" si="44"/>
        <v/>
      </c>
      <c r="H2547" s="29"/>
      <c r="I2547" s="30"/>
      <c r="J2547" s="155">
        <v>0</v>
      </c>
    </row>
    <row r="2548" spans="1:10" ht="15" hidden="1" thickBot="1" x14ac:dyDescent="0.35">
      <c r="A2548" s="229"/>
      <c r="B2548" s="224"/>
      <c r="C2548" s="32"/>
      <c r="D2548" s="32"/>
      <c r="E2548" s="33"/>
      <c r="F2548" s="43" t="s">
        <v>560</v>
      </c>
      <c r="G2548" s="34" t="str">
        <f t="shared" si="44"/>
        <v/>
      </c>
      <c r="H2548" s="35"/>
      <c r="I2548" s="31"/>
      <c r="J2548" s="155">
        <v>0</v>
      </c>
    </row>
    <row r="2549" spans="1:10" ht="27" hidden="1" thickBot="1" x14ac:dyDescent="0.35">
      <c r="A2549" s="229"/>
      <c r="B2549" s="224"/>
      <c r="C2549" s="36" t="s">
        <v>1842</v>
      </c>
      <c r="D2549" s="47" t="s">
        <v>95</v>
      </c>
      <c r="E2549" s="37">
        <v>1</v>
      </c>
      <c r="F2549" s="31">
        <v>34.535499999999999</v>
      </c>
      <c r="G2549" s="34">
        <f t="shared" si="44"/>
        <v>34.535499999999999</v>
      </c>
      <c r="H2549" s="39">
        <f>SUM(G2549:G2549)</f>
        <v>34.535499999999999</v>
      </c>
      <c r="I2549" s="40"/>
      <c r="J2549" s="155">
        <v>0</v>
      </c>
    </row>
    <row r="2550" spans="1:10" ht="15" hidden="1" thickBot="1" x14ac:dyDescent="0.35">
      <c r="A2550" s="230"/>
      <c r="B2550" s="225"/>
      <c r="C2550" s="36"/>
      <c r="D2550" s="36"/>
      <c r="E2550" s="37"/>
      <c r="F2550" s="31" t="s">
        <v>560</v>
      </c>
      <c r="G2550" s="34" t="str">
        <f t="shared" si="44"/>
        <v/>
      </c>
      <c r="H2550" s="35"/>
      <c r="I2550" s="31"/>
      <c r="J2550" s="155">
        <v>0</v>
      </c>
    </row>
    <row r="2551" spans="1:10" ht="15" hidden="1" thickBot="1" x14ac:dyDescent="0.35">
      <c r="A2551" s="226" t="s">
        <v>1600</v>
      </c>
      <c r="B2551" s="223" t="e">
        <f>INDEX(#REF!,MATCH(Composições!A2551,#REF!,0),2)</f>
        <v>#REF!</v>
      </c>
      <c r="C2551" s="41"/>
      <c r="D2551" s="26" t="e">
        <f>TRIM(INDEX(#REF!,MATCH(Composições!A2551,#REF!,0),1))</f>
        <v>#REF!</v>
      </c>
      <c r="E2551" s="27"/>
      <c r="F2551" s="42" t="s">
        <v>560</v>
      </c>
      <c r="G2551" s="28" t="str">
        <f t="shared" si="44"/>
        <v/>
      </c>
      <c r="H2551" s="29"/>
      <c r="I2551" s="30"/>
      <c r="J2551" s="155">
        <v>0</v>
      </c>
    </row>
    <row r="2552" spans="1:10" ht="15" hidden="1" thickBot="1" x14ac:dyDescent="0.35">
      <c r="A2552" s="229"/>
      <c r="B2552" s="224"/>
      <c r="C2552" s="32"/>
      <c r="D2552" s="32"/>
      <c r="E2552" s="33"/>
      <c r="F2552" s="43" t="s">
        <v>560</v>
      </c>
      <c r="G2552" s="34" t="str">
        <f t="shared" si="44"/>
        <v/>
      </c>
      <c r="H2552" s="35"/>
      <c r="I2552" s="31"/>
      <c r="J2552" s="155">
        <v>0</v>
      </c>
    </row>
    <row r="2553" spans="1:10" ht="15" hidden="1" thickBot="1" x14ac:dyDescent="0.35">
      <c r="A2553" s="229"/>
      <c r="B2553" s="224"/>
      <c r="C2553" s="36" t="s">
        <v>1812</v>
      </c>
      <c r="D2553" s="47" t="s">
        <v>42</v>
      </c>
      <c r="E2553" s="37">
        <v>0.4</v>
      </c>
      <c r="F2553" s="31">
        <v>22.074499999999997</v>
      </c>
      <c r="G2553" s="34">
        <f t="shared" si="44"/>
        <v>8.8297999999999988</v>
      </c>
      <c r="H2553" s="39">
        <f>SUM(G2553:G2553)</f>
        <v>8.8297999999999988</v>
      </c>
      <c r="I2553" s="40"/>
      <c r="J2553" s="155">
        <v>0</v>
      </c>
    </row>
    <row r="2554" spans="1:10" ht="15" hidden="1" thickBot="1" x14ac:dyDescent="0.35">
      <c r="A2554" s="230"/>
      <c r="B2554" s="225"/>
      <c r="C2554" s="36"/>
      <c r="D2554" s="36"/>
      <c r="E2554" s="37"/>
      <c r="F2554" s="31" t="s">
        <v>560</v>
      </c>
      <c r="G2554" s="34" t="str">
        <f t="shared" si="44"/>
        <v/>
      </c>
      <c r="H2554" s="35"/>
      <c r="I2554" s="31"/>
      <c r="J2554" s="155">
        <v>0</v>
      </c>
    </row>
    <row r="2555" spans="1:10" ht="15" hidden="1" thickBot="1" x14ac:dyDescent="0.35">
      <c r="A2555" s="226" t="s">
        <v>784</v>
      </c>
      <c r="B2555" s="223" t="e">
        <f>INDEX(#REF!,MATCH(Composições!A2555,#REF!,0),2)</f>
        <v>#REF!</v>
      </c>
      <c r="C2555" s="41"/>
      <c r="D2555" s="26" t="e">
        <f>TRIM(INDEX(#REF!,MATCH(Composições!A2555,#REF!,0),1))</f>
        <v>#REF!</v>
      </c>
      <c r="E2555" s="27"/>
      <c r="F2555" s="42" t="s">
        <v>560</v>
      </c>
      <c r="G2555" s="28" t="str">
        <f t="shared" si="44"/>
        <v/>
      </c>
      <c r="H2555" s="29"/>
      <c r="I2555" s="30"/>
      <c r="J2555" s="155">
        <v>0</v>
      </c>
    </row>
    <row r="2556" spans="1:10" ht="15" hidden="1" thickBot="1" x14ac:dyDescent="0.35">
      <c r="A2556" s="229"/>
      <c r="B2556" s="224"/>
      <c r="C2556" s="32"/>
      <c r="D2556" s="32"/>
      <c r="E2556" s="33"/>
      <c r="F2556" s="43" t="s">
        <v>560</v>
      </c>
      <c r="G2556" s="34" t="str">
        <f t="shared" si="44"/>
        <v/>
      </c>
      <c r="H2556" s="35"/>
      <c r="I2556" s="31"/>
      <c r="J2556" s="155">
        <v>0</v>
      </c>
    </row>
    <row r="2557" spans="1:10" ht="15" hidden="1" thickBot="1" x14ac:dyDescent="0.35">
      <c r="A2557" s="229"/>
      <c r="B2557" s="224"/>
      <c r="C2557" s="36" t="s">
        <v>785</v>
      </c>
      <c r="D2557" s="47" t="s">
        <v>42</v>
      </c>
      <c r="E2557" s="37">
        <v>40</v>
      </c>
      <c r="F2557" s="31">
        <v>0.39100000000000001</v>
      </c>
      <c r="G2557" s="34">
        <f t="shared" si="44"/>
        <v>15.64</v>
      </c>
      <c r="H2557" s="39">
        <f>SUM(G2557:G2557)</f>
        <v>15.64</v>
      </c>
      <c r="I2557" s="40"/>
      <c r="J2557" s="155">
        <v>0</v>
      </c>
    </row>
    <row r="2558" spans="1:10" ht="15" hidden="1" thickBot="1" x14ac:dyDescent="0.35">
      <c r="A2558" s="230"/>
      <c r="B2558" s="225"/>
      <c r="C2558" s="36"/>
      <c r="D2558" s="36"/>
      <c r="E2558" s="37"/>
      <c r="F2558" s="31" t="s">
        <v>560</v>
      </c>
      <c r="G2558" s="34" t="str">
        <f t="shared" si="44"/>
        <v/>
      </c>
      <c r="H2558" s="35"/>
      <c r="I2558" s="31"/>
      <c r="J2558" s="155">
        <v>0</v>
      </c>
    </row>
    <row r="2559" spans="1:10" ht="15" hidden="1" thickBot="1" x14ac:dyDescent="0.35">
      <c r="A2559" s="226" t="s">
        <v>786</v>
      </c>
      <c r="B2559" s="223" t="e">
        <f>INDEX(#REF!,MATCH(Composições!A2559,#REF!,0),2)</f>
        <v>#REF!</v>
      </c>
      <c r="C2559" s="41"/>
      <c r="D2559" s="26" t="e">
        <f>TRIM(INDEX(#REF!,MATCH(Composições!A2559,#REF!,0),1))</f>
        <v>#REF!</v>
      </c>
      <c r="E2559" s="27"/>
      <c r="F2559" s="42" t="s">
        <v>560</v>
      </c>
      <c r="G2559" s="28" t="str">
        <f t="shared" si="44"/>
        <v/>
      </c>
      <c r="H2559" s="29"/>
      <c r="I2559" s="30"/>
      <c r="J2559" s="155">
        <v>0</v>
      </c>
    </row>
    <row r="2560" spans="1:10" ht="15" hidden="1" thickBot="1" x14ac:dyDescent="0.35">
      <c r="A2560" s="229"/>
      <c r="B2560" s="224"/>
      <c r="C2560" s="32"/>
      <c r="D2560" s="32"/>
      <c r="E2560" s="33"/>
      <c r="F2560" s="43" t="s">
        <v>560</v>
      </c>
      <c r="G2560" s="34" t="str">
        <f t="shared" si="44"/>
        <v/>
      </c>
      <c r="H2560" s="35"/>
      <c r="I2560" s="31"/>
      <c r="J2560" s="155">
        <v>0</v>
      </c>
    </row>
    <row r="2561" spans="1:10" ht="27" hidden="1" thickBot="1" x14ac:dyDescent="0.35">
      <c r="A2561" s="229"/>
      <c r="B2561" s="224"/>
      <c r="C2561" s="36" t="s">
        <v>787</v>
      </c>
      <c r="D2561" s="47" t="s">
        <v>42</v>
      </c>
      <c r="E2561" s="37">
        <v>40</v>
      </c>
      <c r="F2561" s="31">
        <v>0.41649999999999998</v>
      </c>
      <c r="G2561" s="34">
        <f t="shared" ref="G2561:G2624" si="45">IF(ISNUMBER(F2561),E2561*F2561,"")</f>
        <v>16.66</v>
      </c>
      <c r="H2561" s="39">
        <f>SUM(G2561:G2561)</f>
        <v>16.66</v>
      </c>
      <c r="I2561" s="40"/>
      <c r="J2561" s="155">
        <v>0</v>
      </c>
    </row>
    <row r="2562" spans="1:10" ht="15" hidden="1" thickBot="1" x14ac:dyDescent="0.35">
      <c r="A2562" s="230"/>
      <c r="B2562" s="225"/>
      <c r="C2562" s="36"/>
      <c r="D2562" s="36"/>
      <c r="E2562" s="37"/>
      <c r="F2562" s="31" t="s">
        <v>560</v>
      </c>
      <c r="G2562" s="34" t="str">
        <f t="shared" si="45"/>
        <v/>
      </c>
      <c r="H2562" s="35"/>
      <c r="I2562" s="31"/>
      <c r="J2562" s="155">
        <v>0</v>
      </c>
    </row>
    <row r="2563" spans="1:10" ht="15" hidden="1" thickBot="1" x14ac:dyDescent="0.35">
      <c r="A2563" s="226" t="s">
        <v>788</v>
      </c>
      <c r="B2563" s="223" t="e">
        <f>INDEX(#REF!,MATCH(Composições!A2563,#REF!,0),2)</f>
        <v>#REF!</v>
      </c>
      <c r="C2563" s="41"/>
      <c r="D2563" s="26" t="e">
        <f>TRIM(INDEX(#REF!,MATCH(Composições!A2563,#REF!,0),1))</f>
        <v>#REF!</v>
      </c>
      <c r="E2563" s="27"/>
      <c r="F2563" s="42" t="s">
        <v>560</v>
      </c>
      <c r="G2563" s="28" t="str">
        <f t="shared" si="45"/>
        <v/>
      </c>
      <c r="H2563" s="29"/>
      <c r="I2563" s="30"/>
      <c r="J2563" s="155">
        <v>0</v>
      </c>
    </row>
    <row r="2564" spans="1:10" ht="15" hidden="1" thickBot="1" x14ac:dyDescent="0.35">
      <c r="A2564" s="229"/>
      <c r="B2564" s="224"/>
      <c r="C2564" s="32"/>
      <c r="D2564" s="32"/>
      <c r="E2564" s="33"/>
      <c r="F2564" s="43" t="s">
        <v>560</v>
      </c>
      <c r="G2564" s="34" t="str">
        <f t="shared" si="45"/>
        <v/>
      </c>
      <c r="H2564" s="35"/>
      <c r="I2564" s="31"/>
      <c r="J2564" s="155">
        <v>0</v>
      </c>
    </row>
    <row r="2565" spans="1:10" ht="15" hidden="1" thickBot="1" x14ac:dyDescent="0.35">
      <c r="A2565" s="229"/>
      <c r="B2565" s="224"/>
      <c r="C2565" s="36" t="s">
        <v>789</v>
      </c>
      <c r="D2565" s="47" t="s">
        <v>42</v>
      </c>
      <c r="E2565" s="37">
        <v>50</v>
      </c>
      <c r="F2565" s="31">
        <v>0.46750000000000003</v>
      </c>
      <c r="G2565" s="34">
        <f t="shared" si="45"/>
        <v>23.375</v>
      </c>
      <c r="H2565" s="39">
        <f>SUM(G2565:G2565)</f>
        <v>23.375</v>
      </c>
      <c r="I2565" s="40"/>
      <c r="J2565" s="155">
        <v>0</v>
      </c>
    </row>
    <row r="2566" spans="1:10" ht="15" hidden="1" thickBot="1" x14ac:dyDescent="0.35">
      <c r="A2566" s="230"/>
      <c r="B2566" s="225"/>
      <c r="C2566" s="36"/>
      <c r="D2566" s="36"/>
      <c r="E2566" s="37"/>
      <c r="F2566" s="31" t="s">
        <v>560</v>
      </c>
      <c r="G2566" s="34" t="str">
        <f t="shared" si="45"/>
        <v/>
      </c>
      <c r="H2566" s="35"/>
      <c r="I2566" s="31"/>
      <c r="J2566" s="155">
        <v>0</v>
      </c>
    </row>
    <row r="2567" spans="1:10" ht="15" hidden="1" thickBot="1" x14ac:dyDescent="0.35">
      <c r="A2567" s="226" t="s">
        <v>790</v>
      </c>
      <c r="B2567" s="223" t="e">
        <f>INDEX(#REF!,MATCH(Composições!A2567,#REF!,0),2)</f>
        <v>#REF!</v>
      </c>
      <c r="C2567" s="41"/>
      <c r="D2567" s="26" t="e">
        <f>TRIM(INDEX(#REF!,MATCH(Composições!A2567,#REF!,0),1))</f>
        <v>#REF!</v>
      </c>
      <c r="E2567" s="27"/>
      <c r="F2567" s="42" t="s">
        <v>560</v>
      </c>
      <c r="G2567" s="28" t="str">
        <f t="shared" si="45"/>
        <v/>
      </c>
      <c r="H2567" s="29"/>
      <c r="I2567" s="30"/>
      <c r="J2567" s="155">
        <v>0</v>
      </c>
    </row>
    <row r="2568" spans="1:10" ht="15" hidden="1" thickBot="1" x14ac:dyDescent="0.35">
      <c r="A2568" s="229"/>
      <c r="B2568" s="224"/>
      <c r="C2568" s="32"/>
      <c r="D2568" s="32"/>
      <c r="E2568" s="33"/>
      <c r="F2568" s="43" t="s">
        <v>560</v>
      </c>
      <c r="G2568" s="34" t="str">
        <f t="shared" si="45"/>
        <v/>
      </c>
      <c r="H2568" s="35"/>
      <c r="I2568" s="31"/>
      <c r="J2568" s="155">
        <v>0</v>
      </c>
    </row>
    <row r="2569" spans="1:10" ht="15" hidden="1" thickBot="1" x14ac:dyDescent="0.35">
      <c r="A2569" s="229"/>
      <c r="B2569" s="224"/>
      <c r="C2569" s="36" t="s">
        <v>1933</v>
      </c>
      <c r="D2569" s="47" t="s">
        <v>42</v>
      </c>
      <c r="E2569" s="37">
        <v>20</v>
      </c>
      <c r="F2569" s="31">
        <v>1.1729999999999998</v>
      </c>
      <c r="G2569" s="34">
        <f t="shared" si="45"/>
        <v>23.459999999999997</v>
      </c>
      <c r="H2569" s="39">
        <f>SUM(G2569:G2569)</f>
        <v>23.459999999999997</v>
      </c>
      <c r="I2569" s="40"/>
      <c r="J2569" s="155">
        <v>0</v>
      </c>
    </row>
    <row r="2570" spans="1:10" ht="15" hidden="1" thickBot="1" x14ac:dyDescent="0.35">
      <c r="A2570" s="230"/>
      <c r="B2570" s="225"/>
      <c r="C2570" s="36"/>
      <c r="D2570" s="36"/>
      <c r="E2570" s="37"/>
      <c r="F2570" s="31" t="s">
        <v>560</v>
      </c>
      <c r="G2570" s="34" t="str">
        <f t="shared" si="45"/>
        <v/>
      </c>
      <c r="H2570" s="35"/>
      <c r="I2570" s="31"/>
      <c r="J2570" s="155">
        <v>0</v>
      </c>
    </row>
    <row r="2571" spans="1:10" ht="15" hidden="1" thickBot="1" x14ac:dyDescent="0.35">
      <c r="A2571" s="226" t="s">
        <v>791</v>
      </c>
      <c r="B2571" s="223" t="e">
        <f>INDEX(#REF!,MATCH(Composições!A2571,#REF!,0),2)</f>
        <v>#REF!</v>
      </c>
      <c r="C2571" s="41"/>
      <c r="D2571" s="26" t="e">
        <f>TRIM(INDEX(#REF!,MATCH(Composições!A2571,#REF!,0),1))</f>
        <v>#REF!</v>
      </c>
      <c r="E2571" s="27"/>
      <c r="F2571" s="42" t="s">
        <v>560</v>
      </c>
      <c r="G2571" s="28" t="str">
        <f t="shared" si="45"/>
        <v/>
      </c>
      <c r="H2571" s="29"/>
      <c r="I2571" s="30"/>
      <c r="J2571" s="155">
        <v>0</v>
      </c>
    </row>
    <row r="2572" spans="1:10" ht="15" hidden="1" thickBot="1" x14ac:dyDescent="0.35">
      <c r="A2572" s="229"/>
      <c r="B2572" s="224"/>
      <c r="C2572" s="32"/>
      <c r="D2572" s="32"/>
      <c r="E2572" s="33"/>
      <c r="F2572" s="43" t="s">
        <v>560</v>
      </c>
      <c r="G2572" s="34" t="str">
        <f t="shared" si="45"/>
        <v/>
      </c>
      <c r="H2572" s="35"/>
      <c r="I2572" s="31"/>
      <c r="J2572" s="155">
        <v>0</v>
      </c>
    </row>
    <row r="2573" spans="1:10" ht="27" hidden="1" thickBot="1" x14ac:dyDescent="0.35">
      <c r="A2573" s="229"/>
      <c r="B2573" s="224"/>
      <c r="C2573" s="36" t="s">
        <v>2027</v>
      </c>
      <c r="D2573" s="47" t="s">
        <v>42</v>
      </c>
      <c r="E2573" s="37">
        <v>40</v>
      </c>
      <c r="F2573" s="31">
        <v>0.33150000000000002</v>
      </c>
      <c r="G2573" s="34">
        <f t="shared" si="45"/>
        <v>13.260000000000002</v>
      </c>
      <c r="H2573" s="39">
        <f>SUM(G2573:G2573)</f>
        <v>13.260000000000002</v>
      </c>
      <c r="I2573" s="40"/>
      <c r="J2573" s="155">
        <v>0</v>
      </c>
    </row>
    <row r="2574" spans="1:10" ht="15" hidden="1" thickBot="1" x14ac:dyDescent="0.35">
      <c r="A2574" s="230"/>
      <c r="B2574" s="225"/>
      <c r="C2574" s="36"/>
      <c r="D2574" s="36"/>
      <c r="E2574" s="37"/>
      <c r="F2574" s="31" t="s">
        <v>560</v>
      </c>
      <c r="G2574" s="34" t="str">
        <f t="shared" si="45"/>
        <v/>
      </c>
      <c r="H2574" s="35"/>
      <c r="I2574" s="31"/>
      <c r="J2574" s="155">
        <v>0</v>
      </c>
    </row>
    <row r="2575" spans="1:10" ht="15" hidden="1" thickBot="1" x14ac:dyDescent="0.35">
      <c r="A2575" s="226" t="s">
        <v>792</v>
      </c>
      <c r="B2575" s="223" t="e">
        <f>INDEX(#REF!,MATCH(Composições!A2575,#REF!,0),2)</f>
        <v>#REF!</v>
      </c>
      <c r="C2575" s="41"/>
      <c r="D2575" s="26" t="e">
        <f>TRIM(INDEX(#REF!,MATCH(Composições!A2575,#REF!,0),1))</f>
        <v>#REF!</v>
      </c>
      <c r="E2575" s="27"/>
      <c r="F2575" s="42" t="s">
        <v>560</v>
      </c>
      <c r="G2575" s="28" t="str">
        <f t="shared" si="45"/>
        <v/>
      </c>
      <c r="H2575" s="29"/>
      <c r="I2575" s="30"/>
      <c r="J2575" s="155">
        <v>0</v>
      </c>
    </row>
    <row r="2576" spans="1:10" ht="15" hidden="1" thickBot="1" x14ac:dyDescent="0.35">
      <c r="A2576" s="229"/>
      <c r="B2576" s="224"/>
      <c r="C2576" s="32"/>
      <c r="D2576" s="32"/>
      <c r="E2576" s="33"/>
      <c r="F2576" s="43" t="s">
        <v>560</v>
      </c>
      <c r="G2576" s="34" t="str">
        <f t="shared" si="45"/>
        <v/>
      </c>
      <c r="H2576" s="35"/>
      <c r="I2576" s="31"/>
      <c r="J2576" s="155">
        <v>0</v>
      </c>
    </row>
    <row r="2577" spans="1:10" ht="27" hidden="1" thickBot="1" x14ac:dyDescent="0.35">
      <c r="A2577" s="229"/>
      <c r="B2577" s="224"/>
      <c r="C2577" s="36" t="s">
        <v>793</v>
      </c>
      <c r="D2577" s="47" t="s">
        <v>110</v>
      </c>
      <c r="E2577" s="37">
        <v>1</v>
      </c>
      <c r="F2577" s="31">
        <v>76.5</v>
      </c>
      <c r="G2577" s="34">
        <f t="shared" si="45"/>
        <v>76.5</v>
      </c>
      <c r="H2577" s="39">
        <f>SUM(G2577:G2579)</f>
        <v>105.8402949</v>
      </c>
      <c r="I2577" s="40"/>
      <c r="J2577" s="155">
        <v>0</v>
      </c>
    </row>
    <row r="2578" spans="1:10" ht="53.4" hidden="1" thickBot="1" x14ac:dyDescent="0.35">
      <c r="A2578" s="229"/>
      <c r="B2578" s="224"/>
      <c r="C2578" s="36" t="s">
        <v>1931</v>
      </c>
      <c r="D2578" s="36" t="s">
        <v>110</v>
      </c>
      <c r="E2578" s="37">
        <f>E2577</f>
        <v>1</v>
      </c>
      <c r="F2578" s="34">
        <v>5.4059098999999993</v>
      </c>
      <c r="G2578" s="34">
        <f t="shared" si="45"/>
        <v>5.4059098999999993</v>
      </c>
      <c r="H2578" s="35"/>
      <c r="I2578" s="31"/>
      <c r="J2578" s="155">
        <v>0</v>
      </c>
    </row>
    <row r="2579" spans="1:10" ht="27" hidden="1" thickBot="1" x14ac:dyDescent="0.35">
      <c r="A2579" s="229"/>
      <c r="B2579" s="224"/>
      <c r="C2579" s="36" t="s">
        <v>794</v>
      </c>
      <c r="D2579" s="47" t="s">
        <v>795</v>
      </c>
      <c r="E2579" s="37">
        <f>E2577*20</f>
        <v>20</v>
      </c>
      <c r="F2579" s="31">
        <v>1.1967192499999999</v>
      </c>
      <c r="G2579" s="34">
        <f t="shared" si="45"/>
        <v>23.934384999999999</v>
      </c>
      <c r="H2579" s="35"/>
      <c r="I2579" s="31"/>
      <c r="J2579" s="155">
        <v>0</v>
      </c>
    </row>
    <row r="2580" spans="1:10" ht="15" hidden="1" thickBot="1" x14ac:dyDescent="0.35">
      <c r="A2580" s="229"/>
      <c r="B2580" s="224"/>
      <c r="C2580" s="36"/>
      <c r="D2580" s="47"/>
      <c r="E2580" s="37"/>
      <c r="F2580" s="31" t="s">
        <v>560</v>
      </c>
      <c r="G2580" s="34" t="str">
        <f t="shared" si="45"/>
        <v/>
      </c>
      <c r="H2580" s="35"/>
      <c r="I2580" s="31"/>
      <c r="J2580" s="155">
        <v>0</v>
      </c>
    </row>
    <row r="2581" spans="1:10" ht="15" hidden="1" thickBot="1" x14ac:dyDescent="0.35">
      <c r="A2581" s="229"/>
      <c r="B2581" s="224"/>
      <c r="C2581" s="48" t="s">
        <v>796</v>
      </c>
      <c r="D2581" s="47"/>
      <c r="E2581" s="37"/>
      <c r="F2581" s="31" t="s">
        <v>560</v>
      </c>
      <c r="G2581" s="34" t="str">
        <f t="shared" si="45"/>
        <v/>
      </c>
      <c r="H2581" s="35"/>
      <c r="I2581" s="31"/>
      <c r="J2581" s="155">
        <v>0</v>
      </c>
    </row>
    <row r="2582" spans="1:10" ht="15" hidden="1" thickBot="1" x14ac:dyDescent="0.35">
      <c r="A2582" s="230"/>
      <c r="B2582" s="225"/>
      <c r="C2582" s="36"/>
      <c r="D2582" s="36"/>
      <c r="E2582" s="37"/>
      <c r="F2582" s="31" t="s">
        <v>560</v>
      </c>
      <c r="G2582" s="34" t="str">
        <f t="shared" si="45"/>
        <v/>
      </c>
      <c r="H2582" s="35"/>
      <c r="I2582" s="31"/>
      <c r="J2582" s="155">
        <v>0</v>
      </c>
    </row>
    <row r="2583" spans="1:10" ht="15" hidden="1" thickBot="1" x14ac:dyDescent="0.35">
      <c r="A2583" s="226" t="s">
        <v>797</v>
      </c>
      <c r="B2583" s="223" t="e">
        <f>INDEX(#REF!,MATCH(Composições!A2583,#REF!,0),2)</f>
        <v>#REF!</v>
      </c>
      <c r="C2583" s="41"/>
      <c r="D2583" s="26" t="e">
        <f>TRIM(INDEX(#REF!,MATCH(Composições!A2583,#REF!,0),1))</f>
        <v>#REF!</v>
      </c>
      <c r="E2583" s="27"/>
      <c r="F2583" s="42" t="s">
        <v>560</v>
      </c>
      <c r="G2583" s="28" t="str">
        <f t="shared" si="45"/>
        <v/>
      </c>
      <c r="H2583" s="29"/>
      <c r="I2583" s="30"/>
      <c r="J2583" s="155">
        <v>0</v>
      </c>
    </row>
    <row r="2584" spans="1:10" ht="15" hidden="1" thickBot="1" x14ac:dyDescent="0.35">
      <c r="A2584" s="229"/>
      <c r="B2584" s="224"/>
      <c r="C2584" s="32"/>
      <c r="D2584" s="32"/>
      <c r="E2584" s="33"/>
      <c r="F2584" s="43" t="s">
        <v>560</v>
      </c>
      <c r="G2584" s="34" t="str">
        <f t="shared" si="45"/>
        <v/>
      </c>
      <c r="H2584" s="35"/>
      <c r="I2584" s="31"/>
      <c r="J2584" s="155">
        <v>0</v>
      </c>
    </row>
    <row r="2585" spans="1:10" ht="27" hidden="1" thickBot="1" x14ac:dyDescent="0.35">
      <c r="A2585" s="229"/>
      <c r="B2585" s="224"/>
      <c r="C2585" s="36" t="s">
        <v>798</v>
      </c>
      <c r="D2585" s="47" t="s">
        <v>110</v>
      </c>
      <c r="E2585" s="37">
        <v>1</v>
      </c>
      <c r="F2585" s="31">
        <v>129.10649999999998</v>
      </c>
      <c r="G2585" s="34">
        <f t="shared" si="45"/>
        <v>129.10649999999998</v>
      </c>
      <c r="H2585" s="39">
        <f>SUM(G2585:G2587)</f>
        <v>158.44679489999999</v>
      </c>
      <c r="I2585" s="40"/>
      <c r="J2585" s="155">
        <v>0</v>
      </c>
    </row>
    <row r="2586" spans="1:10" ht="53.4" hidden="1" thickBot="1" x14ac:dyDescent="0.35">
      <c r="A2586" s="229"/>
      <c r="B2586" s="224"/>
      <c r="C2586" s="36" t="s">
        <v>1931</v>
      </c>
      <c r="D2586" s="36" t="s">
        <v>110</v>
      </c>
      <c r="E2586" s="37">
        <f>E2585</f>
        <v>1</v>
      </c>
      <c r="F2586" s="34">
        <v>5.4059098999999993</v>
      </c>
      <c r="G2586" s="34">
        <f t="shared" si="45"/>
        <v>5.4059098999999993</v>
      </c>
      <c r="H2586" s="35"/>
      <c r="I2586" s="31"/>
      <c r="J2586" s="155">
        <v>0</v>
      </c>
    </row>
    <row r="2587" spans="1:10" ht="27" hidden="1" thickBot="1" x14ac:dyDescent="0.35">
      <c r="A2587" s="229"/>
      <c r="B2587" s="224"/>
      <c r="C2587" s="36" t="s">
        <v>794</v>
      </c>
      <c r="D2587" s="47" t="s">
        <v>795</v>
      </c>
      <c r="E2587" s="37">
        <f>E2585*20</f>
        <v>20</v>
      </c>
      <c r="F2587" s="31">
        <v>1.1967192499999999</v>
      </c>
      <c r="G2587" s="34">
        <f t="shared" si="45"/>
        <v>23.934384999999999</v>
      </c>
      <c r="H2587" s="35"/>
      <c r="I2587" s="31"/>
      <c r="J2587" s="155">
        <v>0</v>
      </c>
    </row>
    <row r="2588" spans="1:10" ht="15" hidden="1" thickBot="1" x14ac:dyDescent="0.35">
      <c r="A2588" s="229"/>
      <c r="B2588" s="224"/>
      <c r="C2588" s="36"/>
      <c r="D2588" s="47"/>
      <c r="E2588" s="37"/>
      <c r="F2588" s="31" t="s">
        <v>560</v>
      </c>
      <c r="G2588" s="34" t="str">
        <f t="shared" si="45"/>
        <v/>
      </c>
      <c r="H2588" s="35"/>
      <c r="I2588" s="31"/>
      <c r="J2588" s="155">
        <v>0</v>
      </c>
    </row>
    <row r="2589" spans="1:10" ht="15" hidden="1" thickBot="1" x14ac:dyDescent="0.35">
      <c r="A2589" s="229"/>
      <c r="B2589" s="224"/>
      <c r="C2589" s="48" t="s">
        <v>799</v>
      </c>
      <c r="D2589" s="47"/>
      <c r="E2589" s="37"/>
      <c r="F2589" s="31" t="s">
        <v>560</v>
      </c>
      <c r="G2589" s="34" t="str">
        <f t="shared" si="45"/>
        <v/>
      </c>
      <c r="H2589" s="35"/>
      <c r="I2589" s="31"/>
      <c r="J2589" s="155">
        <v>0</v>
      </c>
    </row>
    <row r="2590" spans="1:10" ht="15" hidden="1" thickBot="1" x14ac:dyDescent="0.35">
      <c r="A2590" s="230"/>
      <c r="B2590" s="225"/>
      <c r="C2590" s="36"/>
      <c r="D2590" s="36"/>
      <c r="E2590" s="37"/>
      <c r="F2590" s="31" t="s">
        <v>560</v>
      </c>
      <c r="G2590" s="34" t="str">
        <f t="shared" si="45"/>
        <v/>
      </c>
      <c r="H2590" s="35"/>
      <c r="I2590" s="31"/>
      <c r="J2590" s="155">
        <v>0</v>
      </c>
    </row>
    <row r="2591" spans="1:10" ht="15" hidden="1" thickBot="1" x14ac:dyDescent="0.35">
      <c r="A2591" s="226" t="s">
        <v>800</v>
      </c>
      <c r="B2591" s="223" t="e">
        <f>INDEX(#REF!,MATCH(Composições!A2591,#REF!,0),2)</f>
        <v>#REF!</v>
      </c>
      <c r="C2591" s="41"/>
      <c r="D2591" s="26" t="e">
        <f>TRIM(INDEX(#REF!,MATCH(Composições!A2591,#REF!,0),1))</f>
        <v>#REF!</v>
      </c>
      <c r="E2591" s="27"/>
      <c r="F2591" s="42" t="s">
        <v>560</v>
      </c>
      <c r="G2591" s="28" t="str">
        <f t="shared" si="45"/>
        <v/>
      </c>
      <c r="H2591" s="29"/>
      <c r="I2591" s="30"/>
      <c r="J2591" s="155">
        <v>0</v>
      </c>
    </row>
    <row r="2592" spans="1:10" ht="15" hidden="1" thickBot="1" x14ac:dyDescent="0.35">
      <c r="A2592" s="229"/>
      <c r="B2592" s="224"/>
      <c r="C2592" s="32"/>
      <c r="D2592" s="32"/>
      <c r="E2592" s="33"/>
      <c r="F2592" s="43" t="s">
        <v>560</v>
      </c>
      <c r="G2592" s="34" t="str">
        <f t="shared" si="45"/>
        <v/>
      </c>
      <c r="H2592" s="35"/>
      <c r="I2592" s="31"/>
      <c r="J2592" s="155">
        <v>0</v>
      </c>
    </row>
    <row r="2593" spans="1:10" ht="27" hidden="1" thickBot="1" x14ac:dyDescent="0.35">
      <c r="A2593" s="229"/>
      <c r="B2593" s="224"/>
      <c r="C2593" s="36" t="s">
        <v>801</v>
      </c>
      <c r="D2593" s="47" t="s">
        <v>110</v>
      </c>
      <c r="E2593" s="37">
        <v>1</v>
      </c>
      <c r="F2593" s="31">
        <v>111.82599999999999</v>
      </c>
      <c r="G2593" s="34">
        <f t="shared" si="45"/>
        <v>111.82599999999999</v>
      </c>
      <c r="H2593" s="39">
        <f>SUM(G2593:G2595)</f>
        <v>141.1662949</v>
      </c>
      <c r="I2593" s="40"/>
      <c r="J2593" s="155">
        <v>0</v>
      </c>
    </row>
    <row r="2594" spans="1:10" ht="53.4" hidden="1" thickBot="1" x14ac:dyDescent="0.35">
      <c r="A2594" s="229"/>
      <c r="B2594" s="224"/>
      <c r="C2594" s="36" t="s">
        <v>1931</v>
      </c>
      <c r="D2594" s="36" t="s">
        <v>110</v>
      </c>
      <c r="E2594" s="37">
        <f>E2593</f>
        <v>1</v>
      </c>
      <c r="F2594" s="34">
        <v>5.4059098999999993</v>
      </c>
      <c r="G2594" s="34">
        <f t="shared" si="45"/>
        <v>5.4059098999999993</v>
      </c>
      <c r="H2594" s="35"/>
      <c r="I2594" s="31"/>
      <c r="J2594" s="155">
        <v>0</v>
      </c>
    </row>
    <row r="2595" spans="1:10" ht="27" hidden="1" thickBot="1" x14ac:dyDescent="0.35">
      <c r="A2595" s="229"/>
      <c r="B2595" s="224"/>
      <c r="C2595" s="36" t="s">
        <v>794</v>
      </c>
      <c r="D2595" s="47" t="s">
        <v>795</v>
      </c>
      <c r="E2595" s="37">
        <f>E2593*20</f>
        <v>20</v>
      </c>
      <c r="F2595" s="31">
        <v>1.1967192499999999</v>
      </c>
      <c r="G2595" s="34">
        <f t="shared" si="45"/>
        <v>23.934384999999999</v>
      </c>
      <c r="H2595" s="35"/>
      <c r="I2595" s="31"/>
      <c r="J2595" s="155">
        <v>0</v>
      </c>
    </row>
    <row r="2596" spans="1:10" ht="15" hidden="1" thickBot="1" x14ac:dyDescent="0.35">
      <c r="A2596" s="229"/>
      <c r="B2596" s="224"/>
      <c r="C2596" s="36"/>
      <c r="D2596" s="47"/>
      <c r="E2596" s="37"/>
      <c r="F2596" s="31" t="s">
        <v>560</v>
      </c>
      <c r="G2596" s="34" t="str">
        <f t="shared" si="45"/>
        <v/>
      </c>
      <c r="H2596" s="35"/>
      <c r="I2596" s="31"/>
      <c r="J2596" s="155">
        <v>0</v>
      </c>
    </row>
    <row r="2597" spans="1:10" ht="15" hidden="1" thickBot="1" x14ac:dyDescent="0.35">
      <c r="A2597" s="229"/>
      <c r="B2597" s="224"/>
      <c r="C2597" s="48" t="s">
        <v>799</v>
      </c>
      <c r="D2597" s="47"/>
      <c r="E2597" s="37"/>
      <c r="F2597" s="31" t="s">
        <v>560</v>
      </c>
      <c r="G2597" s="34" t="str">
        <f t="shared" si="45"/>
        <v/>
      </c>
      <c r="H2597" s="35"/>
      <c r="I2597" s="31"/>
      <c r="J2597" s="155">
        <v>0</v>
      </c>
    </row>
    <row r="2598" spans="1:10" ht="15" hidden="1" thickBot="1" x14ac:dyDescent="0.35">
      <c r="A2598" s="230"/>
      <c r="B2598" s="225"/>
      <c r="C2598" s="36"/>
      <c r="D2598" s="36"/>
      <c r="E2598" s="37"/>
      <c r="F2598" s="31" t="s">
        <v>560</v>
      </c>
      <c r="G2598" s="34" t="str">
        <f t="shared" si="45"/>
        <v/>
      </c>
      <c r="H2598" s="35"/>
      <c r="I2598" s="31"/>
      <c r="J2598" s="155">
        <v>0</v>
      </c>
    </row>
    <row r="2599" spans="1:10" ht="15" hidden="1" thickBot="1" x14ac:dyDescent="0.35">
      <c r="A2599" s="226" t="s">
        <v>802</v>
      </c>
      <c r="B2599" s="223" t="e">
        <f>INDEX(#REF!,MATCH(Composições!A2599,#REF!,0),2)</f>
        <v>#REF!</v>
      </c>
      <c r="C2599" s="41"/>
      <c r="D2599" s="26" t="e">
        <f>TRIM(INDEX(#REF!,MATCH(Composições!A2599,#REF!,0),1))</f>
        <v>#REF!</v>
      </c>
      <c r="E2599" s="27"/>
      <c r="F2599" s="42" t="s">
        <v>560</v>
      </c>
      <c r="G2599" s="28" t="str">
        <f t="shared" si="45"/>
        <v/>
      </c>
      <c r="H2599" s="29"/>
      <c r="I2599" s="30"/>
      <c r="J2599" s="155">
        <v>0</v>
      </c>
    </row>
    <row r="2600" spans="1:10" ht="15" hidden="1" thickBot="1" x14ac:dyDescent="0.35">
      <c r="A2600" s="229"/>
      <c r="B2600" s="224"/>
      <c r="C2600" s="32"/>
      <c r="D2600" s="32"/>
      <c r="E2600" s="33"/>
      <c r="F2600" s="43" t="s">
        <v>560</v>
      </c>
      <c r="G2600" s="34" t="str">
        <f t="shared" si="45"/>
        <v/>
      </c>
      <c r="H2600" s="35"/>
      <c r="I2600" s="31"/>
      <c r="J2600" s="155">
        <v>0</v>
      </c>
    </row>
    <row r="2601" spans="1:10" ht="27" hidden="1" thickBot="1" x14ac:dyDescent="0.35">
      <c r="A2601" s="229"/>
      <c r="B2601" s="224"/>
      <c r="C2601" s="36" t="s">
        <v>1914</v>
      </c>
      <c r="D2601" s="36" t="s">
        <v>153</v>
      </c>
      <c r="E2601" s="37">
        <f>1/1000</f>
        <v>1E-3</v>
      </c>
      <c r="F2601" s="31">
        <v>697</v>
      </c>
      <c r="G2601" s="34">
        <f t="shared" si="45"/>
        <v>0.69700000000000006</v>
      </c>
      <c r="H2601" s="39">
        <f>SUM(G2601:G2601)</f>
        <v>0.69700000000000006</v>
      </c>
      <c r="I2601" s="40"/>
      <c r="J2601" s="155">
        <v>0</v>
      </c>
    </row>
    <row r="2602" spans="1:10" ht="15" hidden="1" thickBot="1" x14ac:dyDescent="0.35">
      <c r="A2602" s="230"/>
      <c r="B2602" s="225"/>
      <c r="C2602" s="36"/>
      <c r="D2602" s="36"/>
      <c r="E2602" s="37"/>
      <c r="F2602" s="31" t="s">
        <v>560</v>
      </c>
      <c r="G2602" s="34" t="str">
        <f t="shared" si="45"/>
        <v/>
      </c>
      <c r="H2602" s="35"/>
      <c r="I2602" s="31"/>
      <c r="J2602" s="155">
        <v>0</v>
      </c>
    </row>
    <row r="2603" spans="1:10" ht="15" hidden="1" thickBot="1" x14ac:dyDescent="0.35">
      <c r="A2603" s="226" t="s">
        <v>803</v>
      </c>
      <c r="B2603" s="223" t="e">
        <f>INDEX(#REF!,MATCH(Composições!A2603,#REF!,0),2)</f>
        <v>#REF!</v>
      </c>
      <c r="C2603" s="41"/>
      <c r="D2603" s="26" t="e">
        <f>TRIM(INDEX(#REF!,MATCH(Composições!A2603,#REF!,0),1))</f>
        <v>#REF!</v>
      </c>
      <c r="E2603" s="27"/>
      <c r="F2603" s="42" t="s">
        <v>560</v>
      </c>
      <c r="G2603" s="28" t="str">
        <f t="shared" si="45"/>
        <v/>
      </c>
      <c r="H2603" s="29"/>
      <c r="I2603" s="30"/>
      <c r="J2603" s="155">
        <v>0</v>
      </c>
    </row>
    <row r="2604" spans="1:10" ht="15" hidden="1" thickBot="1" x14ac:dyDescent="0.35">
      <c r="A2604" s="229"/>
      <c r="B2604" s="224"/>
      <c r="C2604" s="32"/>
      <c r="D2604" s="32"/>
      <c r="E2604" s="33"/>
      <c r="F2604" s="43" t="s">
        <v>560</v>
      </c>
      <c r="G2604" s="34" t="str">
        <f t="shared" si="45"/>
        <v/>
      </c>
      <c r="H2604" s="35"/>
      <c r="I2604" s="31"/>
      <c r="J2604" s="155">
        <v>0</v>
      </c>
    </row>
    <row r="2605" spans="1:10" ht="15" hidden="1" thickBot="1" x14ac:dyDescent="0.35">
      <c r="A2605" s="229"/>
      <c r="B2605" s="224"/>
      <c r="C2605" s="36" t="s">
        <v>1924</v>
      </c>
      <c r="D2605" s="36" t="s">
        <v>292</v>
      </c>
      <c r="E2605" s="37">
        <v>1</v>
      </c>
      <c r="F2605" s="31">
        <v>0.59499999999999997</v>
      </c>
      <c r="G2605" s="34">
        <f t="shared" si="45"/>
        <v>0.59499999999999997</v>
      </c>
      <c r="H2605" s="39">
        <f>SUM(G2605:G2605)</f>
        <v>0.59499999999999997</v>
      </c>
      <c r="I2605" s="40"/>
      <c r="J2605" s="155">
        <v>0</v>
      </c>
    </row>
    <row r="2606" spans="1:10" ht="15" hidden="1" thickBot="1" x14ac:dyDescent="0.35">
      <c r="A2606" s="230"/>
      <c r="B2606" s="225"/>
      <c r="C2606" s="36"/>
      <c r="D2606" s="36"/>
      <c r="E2606" s="37"/>
      <c r="F2606" s="31" t="s">
        <v>560</v>
      </c>
      <c r="G2606" s="34" t="str">
        <f t="shared" si="45"/>
        <v/>
      </c>
      <c r="H2606" s="35"/>
      <c r="I2606" s="31"/>
      <c r="J2606" s="155">
        <v>0</v>
      </c>
    </row>
    <row r="2607" spans="1:10" ht="15" hidden="1" thickBot="1" x14ac:dyDescent="0.35">
      <c r="A2607" s="226" t="s">
        <v>804</v>
      </c>
      <c r="B2607" s="223" t="e">
        <f>INDEX(#REF!,MATCH(Composições!A2607,#REF!,0),2)</f>
        <v>#REF!</v>
      </c>
      <c r="C2607" s="41"/>
      <c r="D2607" s="26" t="e">
        <f>TRIM(INDEX(#REF!,MATCH(Composições!A2607,#REF!,0),1))</f>
        <v>#REF!</v>
      </c>
      <c r="E2607" s="27"/>
      <c r="F2607" s="42" t="s">
        <v>560</v>
      </c>
      <c r="G2607" s="28" t="str">
        <f t="shared" si="45"/>
        <v/>
      </c>
      <c r="H2607" s="29"/>
      <c r="I2607" s="30"/>
      <c r="J2607" s="155">
        <v>0</v>
      </c>
    </row>
    <row r="2608" spans="1:10" ht="15" hidden="1" thickBot="1" x14ac:dyDescent="0.35">
      <c r="A2608" s="229"/>
      <c r="B2608" s="224"/>
      <c r="C2608" s="32"/>
      <c r="D2608" s="32"/>
      <c r="E2608" s="33"/>
      <c r="F2608" s="43" t="s">
        <v>560</v>
      </c>
      <c r="G2608" s="34" t="str">
        <f t="shared" si="45"/>
        <v/>
      </c>
      <c r="H2608" s="35"/>
      <c r="I2608" s="31"/>
      <c r="J2608" s="155">
        <v>0</v>
      </c>
    </row>
    <row r="2609" spans="1:10" ht="27" hidden="1" thickBot="1" x14ac:dyDescent="0.35">
      <c r="A2609" s="229"/>
      <c r="B2609" s="224"/>
      <c r="C2609" s="36" t="s">
        <v>1918</v>
      </c>
      <c r="D2609" s="36" t="s">
        <v>292</v>
      </c>
      <c r="E2609" s="37">
        <v>1</v>
      </c>
      <c r="F2609" s="31">
        <v>2.0569999999999999</v>
      </c>
      <c r="G2609" s="34">
        <f t="shared" si="45"/>
        <v>2.0569999999999999</v>
      </c>
      <c r="H2609" s="39">
        <f>SUM(G2609:G2609)</f>
        <v>2.0569999999999999</v>
      </c>
      <c r="I2609" s="40"/>
      <c r="J2609" s="155">
        <v>0</v>
      </c>
    </row>
    <row r="2610" spans="1:10" ht="15" hidden="1" thickBot="1" x14ac:dyDescent="0.35">
      <c r="A2610" s="230"/>
      <c r="B2610" s="225"/>
      <c r="C2610" s="36"/>
      <c r="D2610" s="36"/>
      <c r="E2610" s="37"/>
      <c r="F2610" s="31" t="s">
        <v>560</v>
      </c>
      <c r="G2610" s="34" t="str">
        <f t="shared" si="45"/>
        <v/>
      </c>
      <c r="H2610" s="35"/>
      <c r="I2610" s="31"/>
      <c r="J2610" s="155">
        <v>0</v>
      </c>
    </row>
    <row r="2611" spans="1:10" ht="15" hidden="1" thickBot="1" x14ac:dyDescent="0.35">
      <c r="A2611" s="226" t="s">
        <v>805</v>
      </c>
      <c r="B2611" s="223" t="e">
        <f>INDEX(#REF!,MATCH(Composições!A2611,#REF!,0),2)</f>
        <v>#REF!</v>
      </c>
      <c r="C2611" s="41"/>
      <c r="D2611" s="26" t="e">
        <f>TRIM(INDEX(#REF!,MATCH(Composições!A2611,#REF!,0),1))</f>
        <v>#REF!</v>
      </c>
      <c r="E2611" s="27"/>
      <c r="F2611" s="42" t="s">
        <v>560</v>
      </c>
      <c r="G2611" s="28" t="str">
        <f t="shared" si="45"/>
        <v/>
      </c>
      <c r="H2611" s="29"/>
      <c r="I2611" s="30"/>
      <c r="J2611" s="155">
        <v>0</v>
      </c>
    </row>
    <row r="2612" spans="1:10" ht="15" hidden="1" thickBot="1" x14ac:dyDescent="0.35">
      <c r="A2612" s="229"/>
      <c r="B2612" s="224"/>
      <c r="C2612" s="32"/>
      <c r="D2612" s="32"/>
      <c r="E2612" s="33"/>
      <c r="F2612" s="43" t="s">
        <v>560</v>
      </c>
      <c r="G2612" s="34" t="str">
        <f t="shared" si="45"/>
        <v/>
      </c>
      <c r="H2612" s="35"/>
      <c r="I2612" s="31"/>
      <c r="J2612" s="155">
        <v>0</v>
      </c>
    </row>
    <row r="2613" spans="1:10" ht="15" hidden="1" thickBot="1" x14ac:dyDescent="0.35">
      <c r="A2613" s="229"/>
      <c r="B2613" s="224"/>
      <c r="C2613" s="36" t="s">
        <v>146</v>
      </c>
      <c r="D2613" s="36" t="s">
        <v>147</v>
      </c>
      <c r="E2613" s="37">
        <v>1</v>
      </c>
      <c r="F2613" s="31">
        <v>0.34849999999999998</v>
      </c>
      <c r="G2613" s="34">
        <f t="shared" si="45"/>
        <v>0.34849999999999998</v>
      </c>
      <c r="H2613" s="39">
        <f>SUM(G2613:G2613)</f>
        <v>0.34849999999999998</v>
      </c>
      <c r="I2613" s="40"/>
      <c r="J2613" s="155">
        <v>0</v>
      </c>
    </row>
    <row r="2614" spans="1:10" ht="15" hidden="1" thickBot="1" x14ac:dyDescent="0.35">
      <c r="A2614" s="230"/>
      <c r="B2614" s="225"/>
      <c r="C2614" s="36"/>
      <c r="D2614" s="36"/>
      <c r="E2614" s="37"/>
      <c r="F2614" s="31" t="s">
        <v>560</v>
      </c>
      <c r="G2614" s="34" t="str">
        <f t="shared" si="45"/>
        <v/>
      </c>
      <c r="H2614" s="35"/>
      <c r="I2614" s="31"/>
      <c r="J2614" s="155">
        <v>0</v>
      </c>
    </row>
    <row r="2615" spans="1:10" ht="15" hidden="1" thickBot="1" x14ac:dyDescent="0.35">
      <c r="A2615" s="226" t="s">
        <v>806</v>
      </c>
      <c r="B2615" s="223" t="e">
        <f>INDEX(#REF!,MATCH(Composições!A2615,#REF!,0),2)</f>
        <v>#REF!</v>
      </c>
      <c r="C2615" s="41"/>
      <c r="D2615" s="26" t="e">
        <f>TRIM(INDEX(#REF!,MATCH(Composições!A2615,#REF!,0),1))</f>
        <v>#REF!</v>
      </c>
      <c r="E2615" s="27"/>
      <c r="F2615" s="42" t="s">
        <v>560</v>
      </c>
      <c r="G2615" s="28" t="str">
        <f t="shared" si="45"/>
        <v/>
      </c>
      <c r="H2615" s="29"/>
      <c r="I2615" s="30"/>
      <c r="J2615" s="155">
        <v>0</v>
      </c>
    </row>
    <row r="2616" spans="1:10" ht="15" hidden="1" thickBot="1" x14ac:dyDescent="0.35">
      <c r="A2616" s="229"/>
      <c r="B2616" s="224"/>
      <c r="C2616" s="32"/>
      <c r="D2616" s="32"/>
      <c r="E2616" s="33"/>
      <c r="F2616" s="43" t="s">
        <v>560</v>
      </c>
      <c r="G2616" s="34" t="str">
        <f t="shared" si="45"/>
        <v/>
      </c>
      <c r="H2616" s="35"/>
      <c r="I2616" s="31"/>
      <c r="J2616" s="155">
        <v>0</v>
      </c>
    </row>
    <row r="2617" spans="1:10" ht="15" hidden="1" thickBot="1" x14ac:dyDescent="0.35">
      <c r="A2617" s="229"/>
      <c r="B2617" s="224"/>
      <c r="C2617" s="36" t="s">
        <v>1924</v>
      </c>
      <c r="D2617" s="36" t="s">
        <v>292</v>
      </c>
      <c r="E2617" s="37">
        <v>1</v>
      </c>
      <c r="F2617" s="31">
        <v>0.59499999999999997</v>
      </c>
      <c r="G2617" s="34">
        <f t="shared" si="45"/>
        <v>0.59499999999999997</v>
      </c>
      <c r="H2617" s="39">
        <f>SUM(G2617:G2617)</f>
        <v>0.59499999999999997</v>
      </c>
      <c r="I2617" s="40"/>
      <c r="J2617" s="155">
        <v>0</v>
      </c>
    </row>
    <row r="2618" spans="1:10" ht="15" hidden="1" thickBot="1" x14ac:dyDescent="0.35">
      <c r="A2618" s="230"/>
      <c r="B2618" s="225"/>
      <c r="C2618" s="36"/>
      <c r="D2618" s="36"/>
      <c r="E2618" s="37"/>
      <c r="F2618" s="31" t="s">
        <v>560</v>
      </c>
      <c r="G2618" s="34" t="str">
        <f t="shared" si="45"/>
        <v/>
      </c>
      <c r="H2618" s="35"/>
      <c r="I2618" s="31"/>
      <c r="J2618" s="155">
        <v>0</v>
      </c>
    </row>
    <row r="2619" spans="1:10" ht="15" hidden="1" thickBot="1" x14ac:dyDescent="0.35">
      <c r="A2619" s="226" t="s">
        <v>807</v>
      </c>
      <c r="B2619" s="223" t="e">
        <f>INDEX(#REF!,MATCH(Composições!A2619,#REF!,0),2)</f>
        <v>#REF!</v>
      </c>
      <c r="C2619" s="41"/>
      <c r="D2619" s="26" t="e">
        <f>TRIM(INDEX(#REF!,MATCH(Composições!A2619,#REF!,0),1))</f>
        <v>#REF!</v>
      </c>
      <c r="E2619" s="27"/>
      <c r="F2619" s="42" t="s">
        <v>560</v>
      </c>
      <c r="G2619" s="28" t="str">
        <f t="shared" si="45"/>
        <v/>
      </c>
      <c r="H2619" s="29"/>
      <c r="I2619" s="30"/>
      <c r="J2619" s="155">
        <v>0</v>
      </c>
    </row>
    <row r="2620" spans="1:10" ht="15" hidden="1" thickBot="1" x14ac:dyDescent="0.35">
      <c r="A2620" s="229"/>
      <c r="B2620" s="224"/>
      <c r="C2620" s="32"/>
      <c r="D2620" s="32"/>
      <c r="E2620" s="33"/>
      <c r="F2620" s="43" t="s">
        <v>560</v>
      </c>
      <c r="G2620" s="34" t="str">
        <f t="shared" si="45"/>
        <v/>
      </c>
      <c r="H2620" s="35"/>
      <c r="I2620" s="31"/>
      <c r="J2620" s="155">
        <v>0</v>
      </c>
    </row>
    <row r="2621" spans="1:10" ht="15" hidden="1" thickBot="1" x14ac:dyDescent="0.35">
      <c r="A2621" s="229"/>
      <c r="B2621" s="224"/>
      <c r="C2621" s="36" t="s">
        <v>808</v>
      </c>
      <c r="D2621" s="36" t="s">
        <v>42</v>
      </c>
      <c r="E2621" s="37">
        <v>0.245</v>
      </c>
      <c r="F2621" s="31">
        <v>10.914</v>
      </c>
      <c r="G2621" s="34">
        <f t="shared" si="45"/>
        <v>2.6739299999999999</v>
      </c>
      <c r="H2621" s="39">
        <f>SUM(G2621:G2621)</f>
        <v>2.6739299999999999</v>
      </c>
      <c r="I2621" s="40"/>
      <c r="J2621" s="155">
        <v>0</v>
      </c>
    </row>
    <row r="2622" spans="1:10" ht="15" hidden="1" thickBot="1" x14ac:dyDescent="0.35">
      <c r="A2622" s="230"/>
      <c r="B2622" s="225"/>
      <c r="C2622" s="36"/>
      <c r="D2622" s="36"/>
      <c r="E2622" s="37"/>
      <c r="F2622" s="31" t="s">
        <v>560</v>
      </c>
      <c r="G2622" s="34" t="str">
        <f t="shared" si="45"/>
        <v/>
      </c>
      <c r="H2622" s="35"/>
      <c r="I2622" s="31"/>
      <c r="J2622" s="155">
        <v>0</v>
      </c>
    </row>
    <row r="2623" spans="1:10" ht="15" hidden="1" thickBot="1" x14ac:dyDescent="0.35">
      <c r="A2623" s="226" t="s">
        <v>809</v>
      </c>
      <c r="B2623" s="223" t="e">
        <f>INDEX(#REF!,MATCH(Composições!A2623,#REF!,0),2)</f>
        <v>#REF!</v>
      </c>
      <c r="C2623" s="41"/>
      <c r="D2623" s="26" t="e">
        <f>TRIM(INDEX(#REF!,MATCH(Composições!A2623,#REF!,0),1))</f>
        <v>#REF!</v>
      </c>
      <c r="E2623" s="27"/>
      <c r="F2623" s="42" t="s">
        <v>560</v>
      </c>
      <c r="G2623" s="28" t="str">
        <f t="shared" si="45"/>
        <v/>
      </c>
      <c r="H2623" s="29"/>
      <c r="I2623" s="30"/>
      <c r="J2623" s="155">
        <v>0</v>
      </c>
    </row>
    <row r="2624" spans="1:10" ht="15" hidden="1" thickBot="1" x14ac:dyDescent="0.35">
      <c r="A2624" s="229"/>
      <c r="B2624" s="224"/>
      <c r="C2624" s="32"/>
      <c r="D2624" s="32"/>
      <c r="E2624" s="33"/>
      <c r="F2624" s="43" t="s">
        <v>560</v>
      </c>
      <c r="G2624" s="34" t="str">
        <f t="shared" si="45"/>
        <v/>
      </c>
      <c r="H2624" s="35"/>
      <c r="I2624" s="31"/>
      <c r="J2624" s="155">
        <v>0</v>
      </c>
    </row>
    <row r="2625" spans="1:10" ht="15" hidden="1" thickBot="1" x14ac:dyDescent="0.35">
      <c r="A2625" s="229"/>
      <c r="B2625" s="224"/>
      <c r="C2625" s="36" t="s">
        <v>810</v>
      </c>
      <c r="D2625" s="36" t="s">
        <v>42</v>
      </c>
      <c r="E2625" s="37">
        <v>0.39500000000000002</v>
      </c>
      <c r="F2625" s="31">
        <v>10.9735</v>
      </c>
      <c r="G2625" s="34">
        <f t="shared" ref="G2625:G2688" si="46">IF(ISNUMBER(F2625),E2625*F2625,"")</f>
        <v>4.3345324999999999</v>
      </c>
      <c r="H2625" s="39">
        <f>SUM(G2625:G2625)</f>
        <v>4.3345324999999999</v>
      </c>
      <c r="I2625" s="40"/>
      <c r="J2625" s="155">
        <v>0</v>
      </c>
    </row>
    <row r="2626" spans="1:10" ht="15" hidden="1" thickBot="1" x14ac:dyDescent="0.35">
      <c r="A2626" s="230"/>
      <c r="B2626" s="225"/>
      <c r="C2626" s="36"/>
      <c r="D2626" s="36"/>
      <c r="E2626" s="37"/>
      <c r="F2626" s="31" t="s">
        <v>560</v>
      </c>
      <c r="G2626" s="34" t="str">
        <f t="shared" si="46"/>
        <v/>
      </c>
      <c r="H2626" s="35"/>
      <c r="I2626" s="31"/>
      <c r="J2626" s="155">
        <v>0</v>
      </c>
    </row>
    <row r="2627" spans="1:10" ht="15" hidden="1" thickBot="1" x14ac:dyDescent="0.35">
      <c r="A2627" s="226" t="s">
        <v>811</v>
      </c>
      <c r="B2627" s="223" t="e">
        <f>INDEX(#REF!,MATCH(Composições!A2627,#REF!,0),2)</f>
        <v>#REF!</v>
      </c>
      <c r="C2627" s="41"/>
      <c r="D2627" s="26" t="e">
        <f>TRIM(INDEX(#REF!,MATCH(Composições!A2627,#REF!,0),1))</f>
        <v>#REF!</v>
      </c>
      <c r="E2627" s="27"/>
      <c r="F2627" s="42" t="s">
        <v>560</v>
      </c>
      <c r="G2627" s="28" t="str">
        <f t="shared" si="46"/>
        <v/>
      </c>
      <c r="H2627" s="29"/>
      <c r="I2627" s="30"/>
      <c r="J2627" s="155">
        <v>0</v>
      </c>
    </row>
    <row r="2628" spans="1:10" ht="15" hidden="1" thickBot="1" x14ac:dyDescent="0.35">
      <c r="A2628" s="229"/>
      <c r="B2628" s="224"/>
      <c r="C2628" s="32"/>
      <c r="D2628" s="32"/>
      <c r="E2628" s="33"/>
      <c r="F2628" s="43" t="s">
        <v>560</v>
      </c>
      <c r="G2628" s="34" t="str">
        <f t="shared" si="46"/>
        <v/>
      </c>
      <c r="H2628" s="35"/>
      <c r="I2628" s="31"/>
      <c r="J2628" s="155">
        <v>0</v>
      </c>
    </row>
    <row r="2629" spans="1:10" ht="15" hidden="1" thickBot="1" x14ac:dyDescent="0.35">
      <c r="A2629" s="229"/>
      <c r="B2629" s="224"/>
      <c r="C2629" s="36" t="s">
        <v>812</v>
      </c>
      <c r="D2629" s="36" t="s">
        <v>42</v>
      </c>
      <c r="E2629" s="37">
        <v>0.61699999999999999</v>
      </c>
      <c r="F2629" s="31">
        <v>10.3445</v>
      </c>
      <c r="G2629" s="34">
        <f t="shared" si="46"/>
        <v>6.3825564999999997</v>
      </c>
      <c r="H2629" s="39">
        <f>SUM(G2629:G2629)</f>
        <v>6.3825564999999997</v>
      </c>
      <c r="I2629" s="40"/>
      <c r="J2629" s="155">
        <v>0</v>
      </c>
    </row>
    <row r="2630" spans="1:10" ht="15" hidden="1" thickBot="1" x14ac:dyDescent="0.35">
      <c r="A2630" s="230"/>
      <c r="B2630" s="225"/>
      <c r="C2630" s="36"/>
      <c r="D2630" s="36"/>
      <c r="E2630" s="37"/>
      <c r="F2630" s="31" t="s">
        <v>560</v>
      </c>
      <c r="G2630" s="34" t="str">
        <f t="shared" si="46"/>
        <v/>
      </c>
      <c r="H2630" s="35"/>
      <c r="I2630" s="31"/>
      <c r="J2630" s="155">
        <v>0</v>
      </c>
    </row>
    <row r="2631" spans="1:10" ht="15" hidden="1" thickBot="1" x14ac:dyDescent="0.35">
      <c r="A2631" s="226" t="s">
        <v>813</v>
      </c>
      <c r="B2631" s="223" t="e">
        <f>INDEX(#REF!,MATCH(Composições!A2631,#REF!,0),2)</f>
        <v>#REF!</v>
      </c>
      <c r="C2631" s="41"/>
      <c r="D2631" s="26" t="e">
        <f>TRIM(INDEX(#REF!,MATCH(Composições!A2631,#REF!,0),1))</f>
        <v>#REF!</v>
      </c>
      <c r="E2631" s="27"/>
      <c r="F2631" s="42" t="s">
        <v>560</v>
      </c>
      <c r="G2631" s="28" t="str">
        <f t="shared" si="46"/>
        <v/>
      </c>
      <c r="H2631" s="29"/>
      <c r="I2631" s="30"/>
      <c r="J2631" s="155">
        <v>0</v>
      </c>
    </row>
    <row r="2632" spans="1:10" ht="15" hidden="1" thickBot="1" x14ac:dyDescent="0.35">
      <c r="A2632" s="229"/>
      <c r="B2632" s="224"/>
      <c r="C2632" s="32"/>
      <c r="D2632" s="32"/>
      <c r="E2632" s="33"/>
      <c r="F2632" s="43" t="s">
        <v>560</v>
      </c>
      <c r="G2632" s="34" t="str">
        <f t="shared" si="46"/>
        <v/>
      </c>
      <c r="H2632" s="35"/>
      <c r="I2632" s="31"/>
      <c r="J2632" s="155">
        <v>0</v>
      </c>
    </row>
    <row r="2633" spans="1:10" ht="15" hidden="1" thickBot="1" x14ac:dyDescent="0.35">
      <c r="A2633" s="229"/>
      <c r="B2633" s="224"/>
      <c r="C2633" s="36" t="s">
        <v>814</v>
      </c>
      <c r="D2633" s="36" t="s">
        <v>42</v>
      </c>
      <c r="E2633" s="37">
        <v>0.96299999999999997</v>
      </c>
      <c r="F2633" s="31">
        <v>8.9589999999999996</v>
      </c>
      <c r="G2633" s="34">
        <f t="shared" si="46"/>
        <v>8.6275169999999992</v>
      </c>
      <c r="H2633" s="39">
        <f>SUM(G2633:G2633)</f>
        <v>8.6275169999999992</v>
      </c>
      <c r="I2633" s="40"/>
      <c r="J2633" s="155">
        <v>0</v>
      </c>
    </row>
    <row r="2634" spans="1:10" ht="15" hidden="1" thickBot="1" x14ac:dyDescent="0.35">
      <c r="A2634" s="230"/>
      <c r="B2634" s="225"/>
      <c r="C2634" s="36"/>
      <c r="D2634" s="36"/>
      <c r="E2634" s="37"/>
      <c r="F2634" s="31" t="s">
        <v>560</v>
      </c>
      <c r="G2634" s="34" t="str">
        <f t="shared" si="46"/>
        <v/>
      </c>
      <c r="H2634" s="35"/>
      <c r="I2634" s="31"/>
      <c r="J2634" s="155">
        <v>0</v>
      </c>
    </row>
    <row r="2635" spans="1:10" ht="15" hidden="1" thickBot="1" x14ac:dyDescent="0.35">
      <c r="A2635" s="226" t="s">
        <v>815</v>
      </c>
      <c r="B2635" s="223" t="e">
        <f>INDEX(#REF!,MATCH(Composições!A2635,#REF!,0),2)</f>
        <v>#REF!</v>
      </c>
      <c r="C2635" s="41"/>
      <c r="D2635" s="26" t="e">
        <f>TRIM(INDEX(#REF!,MATCH(Composições!A2635,#REF!,0),1))</f>
        <v>#REF!</v>
      </c>
      <c r="E2635" s="27"/>
      <c r="F2635" s="42" t="s">
        <v>560</v>
      </c>
      <c r="G2635" s="28" t="str">
        <f t="shared" si="46"/>
        <v/>
      </c>
      <c r="H2635" s="29"/>
      <c r="I2635" s="30"/>
      <c r="J2635" s="155">
        <v>0</v>
      </c>
    </row>
    <row r="2636" spans="1:10" ht="15" hidden="1" thickBot="1" x14ac:dyDescent="0.35">
      <c r="A2636" s="229"/>
      <c r="B2636" s="224"/>
      <c r="C2636" s="32"/>
      <c r="D2636" s="32"/>
      <c r="E2636" s="33"/>
      <c r="F2636" s="43" t="s">
        <v>560</v>
      </c>
      <c r="G2636" s="34" t="str">
        <f t="shared" si="46"/>
        <v/>
      </c>
      <c r="H2636" s="35"/>
      <c r="I2636" s="31"/>
      <c r="J2636" s="155">
        <v>0</v>
      </c>
    </row>
    <row r="2637" spans="1:10" ht="27" hidden="1" thickBot="1" x14ac:dyDescent="0.35">
      <c r="A2637" s="229"/>
      <c r="B2637" s="224"/>
      <c r="C2637" s="36" t="s">
        <v>1912</v>
      </c>
      <c r="D2637" s="36" t="s">
        <v>42</v>
      </c>
      <c r="E2637" s="37">
        <v>1</v>
      </c>
      <c r="F2637" s="31">
        <v>19.465</v>
      </c>
      <c r="G2637" s="34">
        <f t="shared" si="46"/>
        <v>19.465</v>
      </c>
      <c r="H2637" s="39">
        <f>SUM(G2637:G2637)</f>
        <v>19.465</v>
      </c>
      <c r="I2637" s="40"/>
      <c r="J2637" s="155">
        <v>0</v>
      </c>
    </row>
    <row r="2638" spans="1:10" ht="15" hidden="1" thickBot="1" x14ac:dyDescent="0.35">
      <c r="A2638" s="230"/>
      <c r="B2638" s="225"/>
      <c r="C2638" s="36"/>
      <c r="D2638" s="36"/>
      <c r="E2638" s="37"/>
      <c r="F2638" s="31" t="s">
        <v>560</v>
      </c>
      <c r="G2638" s="34" t="str">
        <f t="shared" si="46"/>
        <v/>
      </c>
      <c r="H2638" s="35"/>
      <c r="I2638" s="31"/>
      <c r="J2638" s="155">
        <v>0</v>
      </c>
    </row>
    <row r="2639" spans="1:10" ht="15" hidden="1" thickBot="1" x14ac:dyDescent="0.35">
      <c r="A2639" s="226" t="s">
        <v>816</v>
      </c>
      <c r="B2639" s="223" t="e">
        <f>INDEX(#REF!,MATCH(Composições!A2639,#REF!,0),2)</f>
        <v>#REF!</v>
      </c>
      <c r="C2639" s="41"/>
      <c r="D2639" s="26" t="e">
        <f>TRIM(INDEX(#REF!,MATCH(Composições!A2639,#REF!,0),1))</f>
        <v>#REF!</v>
      </c>
      <c r="E2639" s="27"/>
      <c r="F2639" s="42" t="s">
        <v>560</v>
      </c>
      <c r="G2639" s="28" t="str">
        <f t="shared" si="46"/>
        <v/>
      </c>
      <c r="H2639" s="29"/>
      <c r="I2639" s="30"/>
      <c r="J2639" s="155">
        <v>0</v>
      </c>
    </row>
    <row r="2640" spans="1:10" ht="15" hidden="1" thickBot="1" x14ac:dyDescent="0.35">
      <c r="A2640" s="229"/>
      <c r="B2640" s="224"/>
      <c r="C2640" s="32"/>
      <c r="D2640" s="32"/>
      <c r="E2640" s="33"/>
      <c r="F2640" s="43" t="s">
        <v>560</v>
      </c>
      <c r="G2640" s="34" t="str">
        <f t="shared" si="46"/>
        <v/>
      </c>
      <c r="H2640" s="35"/>
      <c r="I2640" s="31"/>
      <c r="J2640" s="155">
        <v>0</v>
      </c>
    </row>
    <row r="2641" spans="1:10" ht="27" hidden="1" thickBot="1" x14ac:dyDescent="0.35">
      <c r="A2641" s="229"/>
      <c r="B2641" s="224"/>
      <c r="C2641" s="36" t="s">
        <v>1705</v>
      </c>
      <c r="D2641" s="36" t="s">
        <v>42</v>
      </c>
      <c r="E2641" s="37">
        <v>1</v>
      </c>
      <c r="F2641" s="31">
        <v>42.270499999999998</v>
      </c>
      <c r="G2641" s="34">
        <f t="shared" si="46"/>
        <v>42.270499999999998</v>
      </c>
      <c r="H2641" s="39">
        <f>SUM(G2641:G2641)</f>
        <v>42.270499999999998</v>
      </c>
      <c r="I2641" s="40"/>
      <c r="J2641" s="155">
        <v>0</v>
      </c>
    </row>
    <row r="2642" spans="1:10" ht="15" hidden="1" thickBot="1" x14ac:dyDescent="0.35">
      <c r="A2642" s="230"/>
      <c r="B2642" s="225"/>
      <c r="C2642" s="36"/>
      <c r="D2642" s="36"/>
      <c r="E2642" s="37"/>
      <c r="F2642" s="31" t="s">
        <v>560</v>
      </c>
      <c r="G2642" s="34" t="str">
        <f t="shared" si="46"/>
        <v/>
      </c>
      <c r="H2642" s="35"/>
      <c r="I2642" s="31"/>
      <c r="J2642" s="155">
        <v>0</v>
      </c>
    </row>
    <row r="2643" spans="1:10" ht="15" hidden="1" thickBot="1" x14ac:dyDescent="0.35">
      <c r="A2643" s="226" t="s">
        <v>1601</v>
      </c>
      <c r="B2643" s="223" t="e">
        <f>INDEX(#REF!,MATCH(Composições!A2643,#REF!,0),2)</f>
        <v>#REF!</v>
      </c>
      <c r="C2643" s="41"/>
      <c r="D2643" s="26" t="e">
        <f>TRIM(INDEX(#REF!,MATCH(Composições!A2643,#REF!,0),1))</f>
        <v>#REF!</v>
      </c>
      <c r="E2643" s="27"/>
      <c r="F2643" s="42" t="s">
        <v>560</v>
      </c>
      <c r="G2643" s="28" t="str">
        <f t="shared" si="46"/>
        <v/>
      </c>
      <c r="H2643" s="29"/>
      <c r="I2643" s="30"/>
      <c r="J2643" s="155">
        <v>0</v>
      </c>
    </row>
    <row r="2644" spans="1:10" ht="15" hidden="1" thickBot="1" x14ac:dyDescent="0.35">
      <c r="A2644" s="229"/>
      <c r="B2644" s="224"/>
      <c r="C2644" s="32"/>
      <c r="D2644" s="32"/>
      <c r="E2644" s="33"/>
      <c r="F2644" s="43" t="s">
        <v>560</v>
      </c>
      <c r="G2644" s="34" t="str">
        <f t="shared" si="46"/>
        <v/>
      </c>
      <c r="H2644" s="35"/>
      <c r="I2644" s="31"/>
      <c r="J2644" s="155">
        <v>0</v>
      </c>
    </row>
    <row r="2645" spans="1:10" ht="15" hidden="1" thickBot="1" x14ac:dyDescent="0.35">
      <c r="A2645" s="229"/>
      <c r="B2645" s="224"/>
      <c r="C2645" s="36" t="s">
        <v>1176</v>
      </c>
      <c r="D2645" s="47" t="s">
        <v>20</v>
      </c>
      <c r="E2645" s="37">
        <v>1</v>
      </c>
      <c r="F2645" s="31">
        <v>18.071000000000002</v>
      </c>
      <c r="G2645" s="34">
        <f t="shared" si="46"/>
        <v>18.071000000000002</v>
      </c>
      <c r="H2645" s="39">
        <f>SUM(G2645:G2645)</f>
        <v>18.071000000000002</v>
      </c>
      <c r="I2645" s="40"/>
      <c r="J2645" s="155">
        <v>0</v>
      </c>
    </row>
    <row r="2646" spans="1:10" ht="15" hidden="1" thickBot="1" x14ac:dyDescent="0.35">
      <c r="A2646" s="230"/>
      <c r="B2646" s="225"/>
      <c r="C2646" s="36"/>
      <c r="D2646" s="36"/>
      <c r="E2646" s="37"/>
      <c r="F2646" s="31" t="s">
        <v>560</v>
      </c>
      <c r="G2646" s="34" t="str">
        <f t="shared" si="46"/>
        <v/>
      </c>
      <c r="H2646" s="35"/>
      <c r="I2646" s="31"/>
      <c r="J2646" s="155">
        <v>0</v>
      </c>
    </row>
    <row r="2647" spans="1:10" ht="15" hidden="1" thickBot="1" x14ac:dyDescent="0.35">
      <c r="A2647" s="226" t="s">
        <v>818</v>
      </c>
      <c r="B2647" s="223" t="e">
        <f>INDEX(#REF!,MATCH(Composições!A2647,#REF!,0),2)</f>
        <v>#REF!</v>
      </c>
      <c r="C2647" s="41"/>
      <c r="D2647" s="26" t="e">
        <f>TRIM(INDEX(#REF!,MATCH(Composições!A2647,#REF!,0),1))</f>
        <v>#REF!</v>
      </c>
      <c r="E2647" s="27"/>
      <c r="F2647" s="42" t="s">
        <v>560</v>
      </c>
      <c r="G2647" s="28" t="str">
        <f t="shared" si="46"/>
        <v/>
      </c>
      <c r="H2647" s="29"/>
      <c r="I2647" s="30"/>
      <c r="J2647" s="155">
        <v>0</v>
      </c>
    </row>
    <row r="2648" spans="1:10" ht="15" hidden="1" thickBot="1" x14ac:dyDescent="0.35">
      <c r="A2648" s="229"/>
      <c r="B2648" s="224"/>
      <c r="C2648" s="32"/>
      <c r="D2648" s="32"/>
      <c r="E2648" s="33"/>
      <c r="F2648" s="43" t="s">
        <v>560</v>
      </c>
      <c r="G2648" s="34" t="str">
        <f t="shared" si="46"/>
        <v/>
      </c>
      <c r="H2648" s="35"/>
      <c r="I2648" s="31"/>
      <c r="J2648" s="155">
        <v>0</v>
      </c>
    </row>
    <row r="2649" spans="1:10" ht="27" hidden="1" thickBot="1" x14ac:dyDescent="0.35">
      <c r="A2649" s="229"/>
      <c r="B2649" s="224"/>
      <c r="C2649" s="36" t="s">
        <v>819</v>
      </c>
      <c r="D2649" s="47" t="s">
        <v>103</v>
      </c>
      <c r="E2649" s="37">
        <v>1</v>
      </c>
      <c r="F2649" s="31">
        <v>5.7035</v>
      </c>
      <c r="G2649" s="34">
        <f t="shared" si="46"/>
        <v>5.7035</v>
      </c>
      <c r="H2649" s="39">
        <f>SUM(G2649:G2649)</f>
        <v>5.7035</v>
      </c>
      <c r="I2649" s="40"/>
      <c r="J2649" s="155">
        <v>0</v>
      </c>
    </row>
    <row r="2650" spans="1:10" ht="15" hidden="1" thickBot="1" x14ac:dyDescent="0.35">
      <c r="A2650" s="230"/>
      <c r="B2650" s="225"/>
      <c r="C2650" s="36"/>
      <c r="D2650" s="36"/>
      <c r="E2650" s="37"/>
      <c r="F2650" s="31" t="s">
        <v>560</v>
      </c>
      <c r="G2650" s="34" t="str">
        <f t="shared" si="46"/>
        <v/>
      </c>
      <c r="H2650" s="35"/>
      <c r="I2650" s="31"/>
      <c r="J2650" s="155">
        <v>0</v>
      </c>
    </row>
    <row r="2651" spans="1:10" ht="15" hidden="1" thickBot="1" x14ac:dyDescent="0.35">
      <c r="A2651" s="226" t="s">
        <v>1602</v>
      </c>
      <c r="B2651" s="223" t="e">
        <f>INDEX(#REF!,MATCH(Composições!A2651,#REF!,0),2)</f>
        <v>#REF!</v>
      </c>
      <c r="C2651" s="41"/>
      <c r="D2651" s="26" t="e">
        <f>TRIM(INDEX(#REF!,MATCH(Composições!A2651,#REF!,0),1))</f>
        <v>#REF!</v>
      </c>
      <c r="E2651" s="27"/>
      <c r="F2651" s="42" t="s">
        <v>560</v>
      </c>
      <c r="G2651" s="28" t="str">
        <f t="shared" si="46"/>
        <v/>
      </c>
      <c r="H2651" s="29"/>
      <c r="I2651" s="30"/>
      <c r="J2651" s="155">
        <v>0</v>
      </c>
    </row>
    <row r="2652" spans="1:10" ht="15" hidden="1" thickBot="1" x14ac:dyDescent="0.35">
      <c r="A2652" s="229"/>
      <c r="B2652" s="224"/>
      <c r="C2652" s="32"/>
      <c r="D2652" s="32"/>
      <c r="E2652" s="33"/>
      <c r="F2652" s="43" t="s">
        <v>560</v>
      </c>
      <c r="G2652" s="34" t="str">
        <f t="shared" si="46"/>
        <v/>
      </c>
      <c r="H2652" s="35"/>
      <c r="I2652" s="31"/>
      <c r="J2652" s="155">
        <v>0</v>
      </c>
    </row>
    <row r="2653" spans="1:10" ht="15" hidden="1" thickBot="1" x14ac:dyDescent="0.35">
      <c r="A2653" s="229"/>
      <c r="B2653" s="224"/>
      <c r="C2653" s="36" t="s">
        <v>2028</v>
      </c>
      <c r="D2653" s="47" t="s">
        <v>95</v>
      </c>
      <c r="E2653" s="37">
        <v>1</v>
      </c>
      <c r="F2653" s="31">
        <v>1.0369999999999999</v>
      </c>
      <c r="G2653" s="34">
        <f t="shared" si="46"/>
        <v>1.0369999999999999</v>
      </c>
      <c r="H2653" s="39">
        <f>SUM(G2653:G2653)</f>
        <v>1.0369999999999999</v>
      </c>
      <c r="I2653" s="40"/>
      <c r="J2653" s="155">
        <v>0</v>
      </c>
    </row>
    <row r="2654" spans="1:10" ht="15" hidden="1" thickBot="1" x14ac:dyDescent="0.35">
      <c r="A2654" s="230"/>
      <c r="B2654" s="225"/>
      <c r="C2654" s="36"/>
      <c r="D2654" s="36"/>
      <c r="E2654" s="37"/>
      <c r="F2654" s="31" t="s">
        <v>560</v>
      </c>
      <c r="G2654" s="34" t="str">
        <f t="shared" si="46"/>
        <v/>
      </c>
      <c r="H2654" s="35"/>
      <c r="I2654" s="31"/>
      <c r="J2654" s="155">
        <v>0</v>
      </c>
    </row>
    <row r="2655" spans="1:10" ht="15" hidden="1" thickBot="1" x14ac:dyDescent="0.35">
      <c r="A2655" s="226" t="s">
        <v>820</v>
      </c>
      <c r="B2655" s="223" t="e">
        <f>INDEX(#REF!,MATCH(Composições!A2655,#REF!,0),2)</f>
        <v>#REF!</v>
      </c>
      <c r="C2655" s="41"/>
      <c r="D2655" s="26" t="e">
        <f>TRIM(INDEX(#REF!,MATCH(Composições!A2655,#REF!,0),1))</f>
        <v>#REF!</v>
      </c>
      <c r="E2655" s="27"/>
      <c r="F2655" s="42" t="s">
        <v>560</v>
      </c>
      <c r="G2655" s="28" t="str">
        <f t="shared" si="46"/>
        <v/>
      </c>
      <c r="H2655" s="29"/>
      <c r="I2655" s="30"/>
      <c r="J2655" s="155">
        <v>0</v>
      </c>
    </row>
    <row r="2656" spans="1:10" ht="15" hidden="1" thickBot="1" x14ac:dyDescent="0.35">
      <c r="A2656" s="229"/>
      <c r="B2656" s="224"/>
      <c r="C2656" s="32"/>
      <c r="D2656" s="32"/>
      <c r="E2656" s="33"/>
      <c r="F2656" s="43" t="s">
        <v>560</v>
      </c>
      <c r="G2656" s="34" t="str">
        <f t="shared" si="46"/>
        <v/>
      </c>
      <c r="H2656" s="35"/>
      <c r="I2656" s="31"/>
      <c r="J2656" s="155">
        <v>0</v>
      </c>
    </row>
    <row r="2657" spans="1:10" ht="27" hidden="1" thickBot="1" x14ac:dyDescent="0.35">
      <c r="A2657" s="229"/>
      <c r="B2657" s="224"/>
      <c r="C2657" s="36" t="s">
        <v>821</v>
      </c>
      <c r="D2657" s="47" t="s">
        <v>12</v>
      </c>
      <c r="E2657" s="37">
        <f>ROUND(220/(1+112.85%),4)</f>
        <v>103.3592</v>
      </c>
      <c r="F2657" s="31">
        <v>89.768500000000003</v>
      </c>
      <c r="G2657" s="34">
        <f t="shared" si="46"/>
        <v>9278.4003451999997</v>
      </c>
      <c r="H2657" s="39">
        <f>SUM(G2657:G2657)</f>
        <v>9278.4003451999997</v>
      </c>
      <c r="I2657" s="40"/>
      <c r="J2657" s="155">
        <v>0</v>
      </c>
    </row>
    <row r="2658" spans="1:10" ht="15" hidden="1" thickBot="1" x14ac:dyDescent="0.35">
      <c r="A2658" s="229"/>
      <c r="B2658" s="224"/>
      <c r="C2658" s="36"/>
      <c r="D2658" s="47"/>
      <c r="E2658" s="37"/>
      <c r="F2658" s="31" t="s">
        <v>560</v>
      </c>
      <c r="G2658" s="34" t="str">
        <f t="shared" si="46"/>
        <v/>
      </c>
      <c r="H2658" s="39"/>
      <c r="I2658" s="40"/>
      <c r="J2658" s="155">
        <v>0</v>
      </c>
    </row>
    <row r="2659" spans="1:10" ht="27" hidden="1" thickBot="1" x14ac:dyDescent="0.35">
      <c r="A2659" s="229"/>
      <c r="B2659" s="224"/>
      <c r="C2659" s="48" t="s">
        <v>822</v>
      </c>
      <c r="D2659" s="47"/>
      <c r="E2659" s="37"/>
      <c r="F2659" s="31" t="s">
        <v>560</v>
      </c>
      <c r="G2659" s="34" t="str">
        <f t="shared" si="46"/>
        <v/>
      </c>
      <c r="H2659" s="39"/>
      <c r="I2659" s="40"/>
      <c r="J2659" s="155">
        <v>0</v>
      </c>
    </row>
    <row r="2660" spans="1:10" ht="15" hidden="1" thickBot="1" x14ac:dyDescent="0.35">
      <c r="A2660" s="230"/>
      <c r="B2660" s="225"/>
      <c r="C2660" s="36"/>
      <c r="D2660" s="36"/>
      <c r="E2660" s="37"/>
      <c r="F2660" s="31" t="s">
        <v>560</v>
      </c>
      <c r="G2660" s="34" t="str">
        <f t="shared" si="46"/>
        <v/>
      </c>
      <c r="H2660" s="35"/>
      <c r="I2660" s="31"/>
      <c r="J2660" s="155">
        <v>0</v>
      </c>
    </row>
    <row r="2661" spans="1:10" ht="15" hidden="1" thickBot="1" x14ac:dyDescent="0.35">
      <c r="A2661" s="226" t="s">
        <v>823</v>
      </c>
      <c r="B2661" s="223" t="e">
        <f>INDEX(#REF!,MATCH(Composições!A2661,#REF!,0),2)</f>
        <v>#REF!</v>
      </c>
      <c r="C2661" s="41"/>
      <c r="D2661" s="26" t="e">
        <f>TRIM(INDEX(#REF!,MATCH(Composições!A2661,#REF!,0),1))</f>
        <v>#REF!</v>
      </c>
      <c r="E2661" s="27"/>
      <c r="F2661" s="42" t="s">
        <v>560</v>
      </c>
      <c r="G2661" s="28" t="str">
        <f t="shared" si="46"/>
        <v/>
      </c>
      <c r="H2661" s="29"/>
      <c r="I2661" s="30"/>
      <c r="J2661" s="155">
        <v>0</v>
      </c>
    </row>
    <row r="2662" spans="1:10" ht="15" hidden="1" thickBot="1" x14ac:dyDescent="0.35">
      <c r="A2662" s="227"/>
      <c r="B2662" s="224"/>
      <c r="C2662" s="32"/>
      <c r="D2662" s="32"/>
      <c r="E2662" s="33"/>
      <c r="F2662" s="43" t="s">
        <v>560</v>
      </c>
      <c r="G2662" s="34" t="str">
        <f t="shared" si="46"/>
        <v/>
      </c>
      <c r="H2662" s="35"/>
      <c r="I2662" s="31"/>
      <c r="J2662" s="155">
        <v>0</v>
      </c>
    </row>
    <row r="2663" spans="1:10" ht="15" hidden="1" thickBot="1" x14ac:dyDescent="0.35">
      <c r="A2663" s="227"/>
      <c r="B2663" s="224"/>
      <c r="C2663" s="36" t="s">
        <v>824</v>
      </c>
      <c r="D2663" s="47" t="s">
        <v>12</v>
      </c>
      <c r="E2663" s="37">
        <f>ROUND(220/(1+112.85%),4)</f>
        <v>103.3592</v>
      </c>
      <c r="F2663" s="31">
        <v>23.3155</v>
      </c>
      <c r="G2663" s="34">
        <f t="shared" si="46"/>
        <v>2409.8714276000001</v>
      </c>
      <c r="H2663" s="39">
        <f>SUM(G2663:G2663)</f>
        <v>2409.8714276000001</v>
      </c>
      <c r="I2663" s="40"/>
      <c r="J2663" s="155">
        <v>0</v>
      </c>
    </row>
    <row r="2664" spans="1:10" ht="15" hidden="1" thickBot="1" x14ac:dyDescent="0.35">
      <c r="A2664" s="227"/>
      <c r="B2664" s="224"/>
      <c r="C2664" s="36"/>
      <c r="D2664" s="47"/>
      <c r="E2664" s="37"/>
      <c r="F2664" s="31" t="s">
        <v>560</v>
      </c>
      <c r="G2664" s="34" t="str">
        <f t="shared" si="46"/>
        <v/>
      </c>
      <c r="H2664" s="39"/>
      <c r="I2664" s="40"/>
      <c r="J2664" s="155">
        <v>0</v>
      </c>
    </row>
    <row r="2665" spans="1:10" ht="27" hidden="1" thickBot="1" x14ac:dyDescent="0.35">
      <c r="A2665" s="227"/>
      <c r="B2665" s="224"/>
      <c r="C2665" s="48" t="s">
        <v>822</v>
      </c>
      <c r="D2665" s="47"/>
      <c r="E2665" s="37"/>
      <c r="F2665" s="31" t="s">
        <v>560</v>
      </c>
      <c r="G2665" s="34" t="str">
        <f t="shared" si="46"/>
        <v/>
      </c>
      <c r="H2665" s="39"/>
      <c r="I2665" s="40"/>
      <c r="J2665" s="155">
        <v>0</v>
      </c>
    </row>
    <row r="2666" spans="1:10" ht="15" hidden="1" thickBot="1" x14ac:dyDescent="0.35">
      <c r="A2666" s="228"/>
      <c r="B2666" s="225"/>
      <c r="C2666" s="36"/>
      <c r="D2666" s="36"/>
      <c r="E2666" s="37"/>
      <c r="F2666" s="31" t="s">
        <v>560</v>
      </c>
      <c r="G2666" s="34" t="str">
        <f t="shared" si="46"/>
        <v/>
      </c>
      <c r="H2666" s="35"/>
      <c r="I2666" s="31"/>
      <c r="J2666" s="155">
        <v>0</v>
      </c>
    </row>
    <row r="2667" spans="1:10" ht="15" hidden="1" thickBot="1" x14ac:dyDescent="0.35">
      <c r="A2667" s="226" t="s">
        <v>825</v>
      </c>
      <c r="B2667" s="223" t="e">
        <f>INDEX(#REF!,MATCH(Composições!A2667,#REF!,0),2)</f>
        <v>#REF!</v>
      </c>
      <c r="C2667" s="41"/>
      <c r="D2667" s="26" t="e">
        <f>TRIM(INDEX(#REF!,MATCH(Composições!A2667,#REF!,0),1))</f>
        <v>#REF!</v>
      </c>
      <c r="E2667" s="27"/>
      <c r="F2667" s="42" t="s">
        <v>560</v>
      </c>
      <c r="G2667" s="28" t="str">
        <f t="shared" si="46"/>
        <v/>
      </c>
      <c r="H2667" s="29"/>
      <c r="I2667" s="30"/>
      <c r="J2667" s="155">
        <v>0</v>
      </c>
    </row>
    <row r="2668" spans="1:10" ht="15" hidden="1" thickBot="1" x14ac:dyDescent="0.35">
      <c r="A2668" s="229"/>
      <c r="B2668" s="224"/>
      <c r="C2668" s="32"/>
      <c r="D2668" s="32"/>
      <c r="E2668" s="33"/>
      <c r="F2668" s="43" t="s">
        <v>560</v>
      </c>
      <c r="G2668" s="34" t="str">
        <f t="shared" si="46"/>
        <v/>
      </c>
      <c r="H2668" s="35"/>
      <c r="I2668" s="31"/>
      <c r="J2668" s="155">
        <v>0</v>
      </c>
    </row>
    <row r="2669" spans="1:10" ht="15" hidden="1" thickBot="1" x14ac:dyDescent="0.35">
      <c r="A2669" s="229"/>
      <c r="B2669" s="224"/>
      <c r="C2669" s="36" t="s">
        <v>745</v>
      </c>
      <c r="D2669" s="47" t="s">
        <v>12</v>
      </c>
      <c r="E2669" s="37">
        <f>ROUND(220/(1+112.85%),4)</f>
        <v>103.3592</v>
      </c>
      <c r="F2669" s="31">
        <v>14.968499999999999</v>
      </c>
      <c r="G2669" s="34">
        <f t="shared" si="46"/>
        <v>1547.1321851999999</v>
      </c>
      <c r="H2669" s="39">
        <f>SUM(G2669:G2669)</f>
        <v>1547.1321851999999</v>
      </c>
      <c r="I2669" s="40"/>
      <c r="J2669" s="155">
        <v>0</v>
      </c>
    </row>
    <row r="2670" spans="1:10" ht="15" hidden="1" thickBot="1" x14ac:dyDescent="0.35">
      <c r="A2670" s="229"/>
      <c r="B2670" s="224"/>
      <c r="C2670" s="36"/>
      <c r="D2670" s="47"/>
      <c r="E2670" s="37"/>
      <c r="F2670" s="31" t="s">
        <v>560</v>
      </c>
      <c r="G2670" s="34" t="str">
        <f t="shared" si="46"/>
        <v/>
      </c>
      <c r="H2670" s="39"/>
      <c r="I2670" s="40"/>
      <c r="J2670" s="155">
        <v>0</v>
      </c>
    </row>
    <row r="2671" spans="1:10" ht="27" hidden="1" thickBot="1" x14ac:dyDescent="0.35">
      <c r="A2671" s="229"/>
      <c r="B2671" s="224"/>
      <c r="C2671" s="48" t="s">
        <v>822</v>
      </c>
      <c r="D2671" s="47"/>
      <c r="E2671" s="37"/>
      <c r="F2671" s="31" t="s">
        <v>560</v>
      </c>
      <c r="G2671" s="34" t="str">
        <f t="shared" si="46"/>
        <v/>
      </c>
      <c r="H2671" s="39"/>
      <c r="I2671" s="40"/>
      <c r="J2671" s="155">
        <v>0</v>
      </c>
    </row>
    <row r="2672" spans="1:10" ht="15" hidden="1" thickBot="1" x14ac:dyDescent="0.35">
      <c r="A2672" s="230"/>
      <c r="B2672" s="225"/>
      <c r="C2672" s="36"/>
      <c r="D2672" s="36"/>
      <c r="E2672" s="37"/>
      <c r="F2672" s="31" t="s">
        <v>560</v>
      </c>
      <c r="G2672" s="34" t="str">
        <f t="shared" si="46"/>
        <v/>
      </c>
      <c r="H2672" s="35"/>
      <c r="I2672" s="31"/>
      <c r="J2672" s="155">
        <v>0</v>
      </c>
    </row>
    <row r="2673" spans="1:10" ht="15" hidden="1" thickBot="1" x14ac:dyDescent="0.35">
      <c r="A2673" s="226" t="s">
        <v>826</v>
      </c>
      <c r="B2673" s="223" t="e">
        <f>INDEX(#REF!,MATCH(Composições!A2673,#REF!,0),2)</f>
        <v>#REF!</v>
      </c>
      <c r="C2673" s="41"/>
      <c r="D2673" s="26" t="e">
        <f>TRIM(INDEX(#REF!,MATCH(Composições!A2673,#REF!,0),1))</f>
        <v>#REF!</v>
      </c>
      <c r="E2673" s="27"/>
      <c r="F2673" s="42" t="s">
        <v>560</v>
      </c>
      <c r="G2673" s="28" t="str">
        <f t="shared" si="46"/>
        <v/>
      </c>
      <c r="H2673" s="29"/>
      <c r="I2673" s="30"/>
      <c r="J2673" s="155">
        <v>0</v>
      </c>
    </row>
    <row r="2674" spans="1:10" ht="15" hidden="1" thickBot="1" x14ac:dyDescent="0.35">
      <c r="A2674" s="229"/>
      <c r="B2674" s="224"/>
      <c r="C2674" s="32"/>
      <c r="D2674" s="32"/>
      <c r="E2674" s="33"/>
      <c r="F2674" s="43" t="s">
        <v>560</v>
      </c>
      <c r="G2674" s="34" t="str">
        <f t="shared" si="46"/>
        <v/>
      </c>
      <c r="H2674" s="35"/>
      <c r="I2674" s="31"/>
      <c r="J2674" s="155">
        <v>0</v>
      </c>
    </row>
    <row r="2675" spans="1:10" ht="15" hidden="1" thickBot="1" x14ac:dyDescent="0.35">
      <c r="A2675" s="229"/>
      <c r="B2675" s="224"/>
      <c r="C2675" s="36" t="s">
        <v>827</v>
      </c>
      <c r="D2675" s="47" t="s">
        <v>12</v>
      </c>
      <c r="E2675" s="37">
        <f>ROUND(220/(1+112.85%),4)</f>
        <v>103.3592</v>
      </c>
      <c r="F2675" s="31">
        <v>16.966000000000001</v>
      </c>
      <c r="G2675" s="34">
        <f t="shared" si="46"/>
        <v>1753.5921872000001</v>
      </c>
      <c r="H2675" s="39">
        <f>SUM(G2675:G2675)</f>
        <v>1753.5921872000001</v>
      </c>
      <c r="I2675" s="40"/>
      <c r="J2675" s="155">
        <v>0</v>
      </c>
    </row>
    <row r="2676" spans="1:10" ht="15" hidden="1" thickBot="1" x14ac:dyDescent="0.35">
      <c r="A2676" s="229"/>
      <c r="B2676" s="224"/>
      <c r="C2676" s="36"/>
      <c r="D2676" s="47"/>
      <c r="E2676" s="37"/>
      <c r="F2676" s="31" t="s">
        <v>560</v>
      </c>
      <c r="G2676" s="34" t="str">
        <f t="shared" si="46"/>
        <v/>
      </c>
      <c r="H2676" s="39"/>
      <c r="I2676" s="40"/>
      <c r="J2676" s="155">
        <v>0</v>
      </c>
    </row>
    <row r="2677" spans="1:10" ht="27" hidden="1" thickBot="1" x14ac:dyDescent="0.35">
      <c r="A2677" s="229"/>
      <c r="B2677" s="224"/>
      <c r="C2677" s="48" t="s">
        <v>822</v>
      </c>
      <c r="D2677" s="47"/>
      <c r="E2677" s="37"/>
      <c r="F2677" s="31" t="s">
        <v>560</v>
      </c>
      <c r="G2677" s="34" t="str">
        <f t="shared" si="46"/>
        <v/>
      </c>
      <c r="H2677" s="39"/>
      <c r="I2677" s="40"/>
      <c r="J2677" s="155">
        <v>0</v>
      </c>
    </row>
    <row r="2678" spans="1:10" ht="15" hidden="1" thickBot="1" x14ac:dyDescent="0.35">
      <c r="A2678" s="230"/>
      <c r="B2678" s="225"/>
      <c r="C2678" s="36"/>
      <c r="D2678" s="36"/>
      <c r="E2678" s="37"/>
      <c r="F2678" s="31" t="s">
        <v>560</v>
      </c>
      <c r="G2678" s="34" t="str">
        <f t="shared" si="46"/>
        <v/>
      </c>
      <c r="H2678" s="35"/>
      <c r="I2678" s="31"/>
      <c r="J2678" s="155">
        <v>0</v>
      </c>
    </row>
    <row r="2679" spans="1:10" ht="15" hidden="1" thickBot="1" x14ac:dyDescent="0.35">
      <c r="A2679" s="226" t="s">
        <v>828</v>
      </c>
      <c r="B2679" s="223" t="e">
        <f>INDEX(#REF!,MATCH(Composições!A2679,#REF!,0),2)</f>
        <v>#REF!</v>
      </c>
      <c r="C2679" s="41"/>
      <c r="D2679" s="26" t="e">
        <f>TRIM(INDEX(#REF!,MATCH(Composições!A2679,#REF!,0),1))</f>
        <v>#REF!</v>
      </c>
      <c r="E2679" s="27"/>
      <c r="F2679" s="42" t="s">
        <v>560</v>
      </c>
      <c r="G2679" s="28" t="str">
        <f t="shared" si="46"/>
        <v/>
      </c>
      <c r="H2679" s="29"/>
      <c r="I2679" s="30"/>
      <c r="J2679" s="155">
        <v>0</v>
      </c>
    </row>
    <row r="2680" spans="1:10" ht="15" hidden="1" thickBot="1" x14ac:dyDescent="0.35">
      <c r="A2680" s="229"/>
      <c r="B2680" s="224"/>
      <c r="C2680" s="32"/>
      <c r="D2680" s="32"/>
      <c r="E2680" s="33"/>
      <c r="F2680" s="43" t="s">
        <v>560</v>
      </c>
      <c r="G2680" s="34" t="str">
        <f t="shared" si="46"/>
        <v/>
      </c>
      <c r="H2680" s="35"/>
      <c r="I2680" s="31"/>
      <c r="J2680" s="155">
        <v>0</v>
      </c>
    </row>
    <row r="2681" spans="1:10" ht="15" hidden="1" thickBot="1" x14ac:dyDescent="0.35">
      <c r="A2681" s="229"/>
      <c r="B2681" s="224"/>
      <c r="C2681" s="36" t="s">
        <v>829</v>
      </c>
      <c r="D2681" s="47" t="s">
        <v>12</v>
      </c>
      <c r="E2681" s="37">
        <f>ROUND(220/(1+112.85%),4)</f>
        <v>103.3592</v>
      </c>
      <c r="F2681" s="31">
        <v>16.413499999999999</v>
      </c>
      <c r="G2681" s="34">
        <f t="shared" si="46"/>
        <v>1696.4862292</v>
      </c>
      <c r="H2681" s="39">
        <f>SUM(G2681:G2681)</f>
        <v>1696.4862292</v>
      </c>
      <c r="I2681" s="40"/>
      <c r="J2681" s="155">
        <v>0</v>
      </c>
    </row>
    <row r="2682" spans="1:10" ht="15" hidden="1" thickBot="1" x14ac:dyDescent="0.35">
      <c r="A2682" s="229"/>
      <c r="B2682" s="224"/>
      <c r="C2682" s="36"/>
      <c r="D2682" s="47"/>
      <c r="E2682" s="37"/>
      <c r="F2682" s="31" t="s">
        <v>560</v>
      </c>
      <c r="G2682" s="34" t="str">
        <f t="shared" si="46"/>
        <v/>
      </c>
      <c r="H2682" s="39"/>
      <c r="I2682" s="40"/>
      <c r="J2682" s="155">
        <v>0</v>
      </c>
    </row>
    <row r="2683" spans="1:10" ht="27" hidden="1" thickBot="1" x14ac:dyDescent="0.35">
      <c r="A2683" s="229"/>
      <c r="B2683" s="224"/>
      <c r="C2683" s="48" t="s">
        <v>822</v>
      </c>
      <c r="D2683" s="47"/>
      <c r="E2683" s="37"/>
      <c r="F2683" s="31" t="s">
        <v>560</v>
      </c>
      <c r="G2683" s="34" t="str">
        <f t="shared" si="46"/>
        <v/>
      </c>
      <c r="H2683" s="39"/>
      <c r="I2683" s="40"/>
      <c r="J2683" s="155">
        <v>0</v>
      </c>
    </row>
    <row r="2684" spans="1:10" ht="15" hidden="1" thickBot="1" x14ac:dyDescent="0.35">
      <c r="A2684" s="230"/>
      <c r="B2684" s="225"/>
      <c r="C2684" s="36"/>
      <c r="D2684" s="36"/>
      <c r="E2684" s="37"/>
      <c r="F2684" s="31" t="s">
        <v>560</v>
      </c>
      <c r="G2684" s="34" t="str">
        <f t="shared" si="46"/>
        <v/>
      </c>
      <c r="H2684" s="35"/>
      <c r="I2684" s="31"/>
      <c r="J2684" s="155">
        <v>0</v>
      </c>
    </row>
    <row r="2685" spans="1:10" ht="15" hidden="1" thickBot="1" x14ac:dyDescent="0.35">
      <c r="A2685" s="226" t="s">
        <v>830</v>
      </c>
      <c r="B2685" s="223" t="e">
        <f>INDEX(#REF!,MATCH(Composições!A2685,#REF!,0),2)</f>
        <v>#REF!</v>
      </c>
      <c r="C2685" s="41"/>
      <c r="D2685" s="26" t="e">
        <f>TRIM(INDEX(#REF!,MATCH(Composições!A2685,#REF!,0),1))</f>
        <v>#REF!</v>
      </c>
      <c r="E2685" s="27"/>
      <c r="F2685" s="42" t="s">
        <v>560</v>
      </c>
      <c r="G2685" s="28" t="str">
        <f t="shared" si="46"/>
        <v/>
      </c>
      <c r="H2685" s="29"/>
      <c r="I2685" s="30"/>
      <c r="J2685" s="155">
        <v>0</v>
      </c>
    </row>
    <row r="2686" spans="1:10" ht="15" hidden="1" thickBot="1" x14ac:dyDescent="0.35">
      <c r="A2686" s="229"/>
      <c r="B2686" s="224"/>
      <c r="C2686" s="32"/>
      <c r="D2686" s="32"/>
      <c r="E2686" s="33"/>
      <c r="F2686" s="43" t="s">
        <v>560</v>
      </c>
      <c r="G2686" s="34" t="str">
        <f t="shared" si="46"/>
        <v/>
      </c>
      <c r="H2686" s="35"/>
      <c r="I2686" s="31"/>
      <c r="J2686" s="155">
        <v>0</v>
      </c>
    </row>
    <row r="2687" spans="1:10" ht="15" hidden="1" thickBot="1" x14ac:dyDescent="0.35">
      <c r="A2687" s="229"/>
      <c r="B2687" s="224"/>
      <c r="C2687" s="36" t="s">
        <v>645</v>
      </c>
      <c r="D2687" s="47" t="s">
        <v>12</v>
      </c>
      <c r="E2687" s="37">
        <f>ROUND(220/(1+112.85%),4)</f>
        <v>103.3592</v>
      </c>
      <c r="F2687" s="31">
        <v>20.484999999999999</v>
      </c>
      <c r="G2687" s="34">
        <f t="shared" si="46"/>
        <v>2117.313212</v>
      </c>
      <c r="H2687" s="39">
        <f>SUM(G2687:G2687)</f>
        <v>2117.313212</v>
      </c>
      <c r="I2687" s="40"/>
      <c r="J2687" s="155">
        <v>0</v>
      </c>
    </row>
    <row r="2688" spans="1:10" ht="15" hidden="1" thickBot="1" x14ac:dyDescent="0.35">
      <c r="A2688" s="229"/>
      <c r="B2688" s="224"/>
      <c r="C2688" s="36"/>
      <c r="D2688" s="47"/>
      <c r="E2688" s="37"/>
      <c r="F2688" s="31" t="s">
        <v>560</v>
      </c>
      <c r="G2688" s="34" t="str">
        <f t="shared" si="46"/>
        <v/>
      </c>
      <c r="H2688" s="39"/>
      <c r="I2688" s="40"/>
      <c r="J2688" s="155">
        <v>0</v>
      </c>
    </row>
    <row r="2689" spans="1:10" ht="27" hidden="1" thickBot="1" x14ac:dyDescent="0.35">
      <c r="A2689" s="229"/>
      <c r="B2689" s="224"/>
      <c r="C2689" s="48" t="s">
        <v>822</v>
      </c>
      <c r="D2689" s="47"/>
      <c r="E2689" s="37"/>
      <c r="F2689" s="31" t="s">
        <v>560</v>
      </c>
      <c r="G2689" s="34" t="str">
        <f t="shared" ref="G2689:G2752" si="47">IF(ISNUMBER(F2689),E2689*F2689,"")</f>
        <v/>
      </c>
      <c r="H2689" s="39"/>
      <c r="I2689" s="40"/>
      <c r="J2689" s="155">
        <v>0</v>
      </c>
    </row>
    <row r="2690" spans="1:10" ht="15" hidden="1" thickBot="1" x14ac:dyDescent="0.35">
      <c r="A2690" s="230"/>
      <c r="B2690" s="225"/>
      <c r="C2690" s="36"/>
      <c r="D2690" s="36"/>
      <c r="E2690" s="37"/>
      <c r="F2690" s="31" t="s">
        <v>560</v>
      </c>
      <c r="G2690" s="34" t="str">
        <f t="shared" si="47"/>
        <v/>
      </c>
      <c r="H2690" s="35"/>
      <c r="I2690" s="31"/>
      <c r="J2690" s="155">
        <v>0</v>
      </c>
    </row>
    <row r="2691" spans="1:10" ht="15" hidden="1" thickBot="1" x14ac:dyDescent="0.35">
      <c r="A2691" s="226" t="s">
        <v>831</v>
      </c>
      <c r="B2691" s="223" t="e">
        <f>INDEX(#REF!,MATCH(Composições!A2691,#REF!,0),2)</f>
        <v>#REF!</v>
      </c>
      <c r="C2691" s="41"/>
      <c r="D2691" s="26" t="e">
        <f>TRIM(INDEX(#REF!,MATCH(Composições!A2691,#REF!,0),1))</f>
        <v>#REF!</v>
      </c>
      <c r="E2691" s="27"/>
      <c r="F2691" s="42" t="s">
        <v>560</v>
      </c>
      <c r="G2691" s="28" t="str">
        <f t="shared" si="47"/>
        <v/>
      </c>
      <c r="H2691" s="29"/>
      <c r="I2691" s="30"/>
      <c r="J2691" s="155">
        <v>0</v>
      </c>
    </row>
    <row r="2692" spans="1:10" ht="15" hidden="1" thickBot="1" x14ac:dyDescent="0.35">
      <c r="A2692" s="229"/>
      <c r="B2692" s="224"/>
      <c r="C2692" s="32"/>
      <c r="D2692" s="32"/>
      <c r="E2692" s="33"/>
      <c r="F2692" s="43" t="s">
        <v>560</v>
      </c>
      <c r="G2692" s="34" t="str">
        <f t="shared" si="47"/>
        <v/>
      </c>
      <c r="H2692" s="35"/>
      <c r="I2692" s="31"/>
      <c r="J2692" s="155">
        <v>0</v>
      </c>
    </row>
    <row r="2693" spans="1:10" ht="15" hidden="1" thickBot="1" x14ac:dyDescent="0.35">
      <c r="A2693" s="229"/>
      <c r="B2693" s="224"/>
      <c r="C2693" s="36" t="s">
        <v>645</v>
      </c>
      <c r="D2693" s="47" t="s">
        <v>12</v>
      </c>
      <c r="E2693" s="37">
        <f>ROUND(220/(1+112.85%),4)</f>
        <v>103.3592</v>
      </c>
      <c r="F2693" s="31">
        <v>20.484999999999999</v>
      </c>
      <c r="G2693" s="34">
        <f t="shared" si="47"/>
        <v>2117.313212</v>
      </c>
      <c r="H2693" s="39">
        <f>SUM(G2693:G2693)</f>
        <v>2117.313212</v>
      </c>
      <c r="I2693" s="40"/>
      <c r="J2693" s="155">
        <v>0</v>
      </c>
    </row>
    <row r="2694" spans="1:10" ht="15" hidden="1" thickBot="1" x14ac:dyDescent="0.35">
      <c r="A2694" s="229"/>
      <c r="B2694" s="224"/>
      <c r="C2694" s="36"/>
      <c r="D2694" s="47"/>
      <c r="E2694" s="37"/>
      <c r="F2694" s="31" t="s">
        <v>560</v>
      </c>
      <c r="G2694" s="34" t="str">
        <f t="shared" si="47"/>
        <v/>
      </c>
      <c r="H2694" s="39"/>
      <c r="I2694" s="40"/>
      <c r="J2694" s="155">
        <v>0</v>
      </c>
    </row>
    <row r="2695" spans="1:10" ht="27" hidden="1" thickBot="1" x14ac:dyDescent="0.35">
      <c r="A2695" s="229"/>
      <c r="B2695" s="224"/>
      <c r="C2695" s="48" t="s">
        <v>822</v>
      </c>
      <c r="D2695" s="47"/>
      <c r="E2695" s="37"/>
      <c r="F2695" s="31" t="s">
        <v>560</v>
      </c>
      <c r="G2695" s="34" t="str">
        <f t="shared" si="47"/>
        <v/>
      </c>
      <c r="H2695" s="39"/>
      <c r="I2695" s="40"/>
      <c r="J2695" s="155">
        <v>0</v>
      </c>
    </row>
    <row r="2696" spans="1:10" ht="15" hidden="1" thickBot="1" x14ac:dyDescent="0.35">
      <c r="A2696" s="230"/>
      <c r="B2696" s="225"/>
      <c r="C2696" s="36"/>
      <c r="D2696" s="36"/>
      <c r="E2696" s="37"/>
      <c r="F2696" s="31" t="s">
        <v>560</v>
      </c>
      <c r="G2696" s="34" t="str">
        <f t="shared" si="47"/>
        <v/>
      </c>
      <c r="H2696" s="35"/>
      <c r="I2696" s="31"/>
      <c r="J2696" s="155">
        <v>0</v>
      </c>
    </row>
    <row r="2697" spans="1:10" ht="15" hidden="1" thickBot="1" x14ac:dyDescent="0.35">
      <c r="A2697" s="226" t="s">
        <v>832</v>
      </c>
      <c r="B2697" s="223" t="e">
        <f>INDEX(#REF!,MATCH(Composições!A2697,#REF!,0),2)</f>
        <v>#REF!</v>
      </c>
      <c r="C2697" s="41"/>
      <c r="D2697" s="26" t="e">
        <f>TRIM(INDEX(#REF!,MATCH(Composições!A2697,#REF!,0),1))</f>
        <v>#REF!</v>
      </c>
      <c r="E2697" s="27"/>
      <c r="F2697" s="42" t="s">
        <v>560</v>
      </c>
      <c r="G2697" s="28" t="str">
        <f t="shared" si="47"/>
        <v/>
      </c>
      <c r="H2697" s="29"/>
      <c r="I2697" s="30"/>
      <c r="J2697" s="155">
        <v>0</v>
      </c>
    </row>
    <row r="2698" spans="1:10" ht="15" hidden="1" thickBot="1" x14ac:dyDescent="0.35">
      <c r="A2698" s="229"/>
      <c r="B2698" s="224"/>
      <c r="C2698" s="32"/>
      <c r="D2698" s="32"/>
      <c r="E2698" s="33"/>
      <c r="F2698" s="43" t="s">
        <v>560</v>
      </c>
      <c r="G2698" s="34" t="str">
        <f t="shared" si="47"/>
        <v/>
      </c>
      <c r="H2698" s="35"/>
      <c r="I2698" s="31"/>
      <c r="J2698" s="155">
        <v>0</v>
      </c>
    </row>
    <row r="2699" spans="1:10" ht="15" hidden="1" thickBot="1" x14ac:dyDescent="0.35">
      <c r="A2699" s="229"/>
      <c r="B2699" s="224"/>
      <c r="C2699" s="36" t="s">
        <v>655</v>
      </c>
      <c r="D2699" s="47" t="s">
        <v>12</v>
      </c>
      <c r="E2699" s="37">
        <f>ROUND(220/(1+112.85%),4)</f>
        <v>103.3592</v>
      </c>
      <c r="F2699" s="31">
        <v>20.213000000000001</v>
      </c>
      <c r="G2699" s="34">
        <f t="shared" si="47"/>
        <v>2089.1995096000001</v>
      </c>
      <c r="H2699" s="39">
        <f>SUM(G2699:G2699)</f>
        <v>2089.1995096000001</v>
      </c>
      <c r="I2699" s="40"/>
      <c r="J2699" s="155">
        <v>0</v>
      </c>
    </row>
    <row r="2700" spans="1:10" ht="15" hidden="1" thickBot="1" x14ac:dyDescent="0.35">
      <c r="A2700" s="229"/>
      <c r="B2700" s="224"/>
      <c r="C2700" s="36"/>
      <c r="D2700" s="47"/>
      <c r="E2700" s="37"/>
      <c r="F2700" s="31" t="s">
        <v>560</v>
      </c>
      <c r="G2700" s="34" t="str">
        <f t="shared" si="47"/>
        <v/>
      </c>
      <c r="H2700" s="39"/>
      <c r="I2700" s="40"/>
      <c r="J2700" s="155">
        <v>0</v>
      </c>
    </row>
    <row r="2701" spans="1:10" ht="27" hidden="1" thickBot="1" x14ac:dyDescent="0.35">
      <c r="A2701" s="229"/>
      <c r="B2701" s="224"/>
      <c r="C2701" s="48" t="s">
        <v>822</v>
      </c>
      <c r="D2701" s="47"/>
      <c r="E2701" s="37"/>
      <c r="F2701" s="31" t="s">
        <v>560</v>
      </c>
      <c r="G2701" s="34" t="str">
        <f t="shared" si="47"/>
        <v/>
      </c>
      <c r="H2701" s="39"/>
      <c r="I2701" s="40"/>
      <c r="J2701" s="155">
        <v>0</v>
      </c>
    </row>
    <row r="2702" spans="1:10" ht="15" hidden="1" thickBot="1" x14ac:dyDescent="0.35">
      <c r="A2702" s="230"/>
      <c r="B2702" s="225"/>
      <c r="C2702" s="36"/>
      <c r="D2702" s="36"/>
      <c r="E2702" s="37"/>
      <c r="F2702" s="31" t="s">
        <v>560</v>
      </c>
      <c r="G2702" s="34" t="str">
        <f t="shared" si="47"/>
        <v/>
      </c>
      <c r="H2702" s="35"/>
      <c r="I2702" s="31"/>
      <c r="J2702" s="155">
        <v>0</v>
      </c>
    </row>
    <row r="2703" spans="1:10" ht="15" hidden="1" thickBot="1" x14ac:dyDescent="0.35">
      <c r="A2703" s="226" t="s">
        <v>833</v>
      </c>
      <c r="B2703" s="223" t="e">
        <f>INDEX(#REF!,MATCH(Composições!A2703,#REF!,0),2)</f>
        <v>#REF!</v>
      </c>
      <c r="C2703" s="41"/>
      <c r="D2703" s="26" t="e">
        <f>TRIM(INDEX(#REF!,MATCH(Composições!A2703,#REF!,0),1))</f>
        <v>#REF!</v>
      </c>
      <c r="E2703" s="27"/>
      <c r="F2703" s="42" t="s">
        <v>560</v>
      </c>
      <c r="G2703" s="28" t="str">
        <f t="shared" si="47"/>
        <v/>
      </c>
      <c r="H2703" s="29"/>
      <c r="I2703" s="30"/>
      <c r="J2703" s="155">
        <v>0</v>
      </c>
    </row>
    <row r="2704" spans="1:10" ht="15" hidden="1" thickBot="1" x14ac:dyDescent="0.35">
      <c r="A2704" s="229"/>
      <c r="B2704" s="224"/>
      <c r="C2704" s="32"/>
      <c r="D2704" s="32"/>
      <c r="E2704" s="33"/>
      <c r="F2704" s="43" t="s">
        <v>560</v>
      </c>
      <c r="G2704" s="34" t="str">
        <f t="shared" si="47"/>
        <v/>
      </c>
      <c r="H2704" s="35"/>
      <c r="I2704" s="31"/>
      <c r="J2704" s="155">
        <v>0</v>
      </c>
    </row>
    <row r="2705" spans="1:10" ht="15" hidden="1" thickBot="1" x14ac:dyDescent="0.35">
      <c r="A2705" s="229"/>
      <c r="B2705" s="224"/>
      <c r="C2705" s="36" t="s">
        <v>14</v>
      </c>
      <c r="D2705" s="47" t="s">
        <v>12</v>
      </c>
      <c r="E2705" s="37">
        <f>ROUND(220/(1+112.85%),4)</f>
        <v>103.3592</v>
      </c>
      <c r="F2705" s="31">
        <v>24.3185</v>
      </c>
      <c r="G2705" s="34">
        <f t="shared" si="47"/>
        <v>2513.5407052</v>
      </c>
      <c r="H2705" s="39">
        <f>SUM(G2705:G2705)</f>
        <v>2513.5407052</v>
      </c>
      <c r="I2705" s="40"/>
      <c r="J2705" s="155">
        <v>0</v>
      </c>
    </row>
    <row r="2706" spans="1:10" ht="15" hidden="1" thickBot="1" x14ac:dyDescent="0.35">
      <c r="A2706" s="229"/>
      <c r="B2706" s="224"/>
      <c r="C2706" s="36"/>
      <c r="D2706" s="47"/>
      <c r="E2706" s="37"/>
      <c r="F2706" s="31" t="s">
        <v>560</v>
      </c>
      <c r="G2706" s="34" t="str">
        <f t="shared" si="47"/>
        <v/>
      </c>
      <c r="H2706" s="39"/>
      <c r="I2706" s="40"/>
      <c r="J2706" s="155">
        <v>0</v>
      </c>
    </row>
    <row r="2707" spans="1:10" ht="27" hidden="1" thickBot="1" x14ac:dyDescent="0.35">
      <c r="A2707" s="229"/>
      <c r="B2707" s="224"/>
      <c r="C2707" s="48" t="s">
        <v>822</v>
      </c>
      <c r="D2707" s="47"/>
      <c r="E2707" s="37"/>
      <c r="F2707" s="31" t="s">
        <v>560</v>
      </c>
      <c r="G2707" s="34" t="str">
        <f t="shared" si="47"/>
        <v/>
      </c>
      <c r="H2707" s="39"/>
      <c r="I2707" s="40"/>
      <c r="J2707" s="155">
        <v>0</v>
      </c>
    </row>
    <row r="2708" spans="1:10" ht="15" hidden="1" thickBot="1" x14ac:dyDescent="0.35">
      <c r="A2708" s="230"/>
      <c r="B2708" s="225"/>
      <c r="C2708" s="36"/>
      <c r="D2708" s="36"/>
      <c r="E2708" s="37"/>
      <c r="F2708" s="31" t="s">
        <v>560</v>
      </c>
      <c r="G2708" s="34" t="str">
        <f t="shared" si="47"/>
        <v/>
      </c>
      <c r="H2708" s="35"/>
      <c r="I2708" s="31"/>
      <c r="J2708" s="155">
        <v>0</v>
      </c>
    </row>
    <row r="2709" spans="1:10" ht="15" hidden="1" thickBot="1" x14ac:dyDescent="0.35">
      <c r="A2709" s="226" t="s">
        <v>834</v>
      </c>
      <c r="B2709" s="223" t="e">
        <f>INDEX(#REF!,MATCH(Composições!A2709,#REF!,0),2)</f>
        <v>#REF!</v>
      </c>
      <c r="C2709" s="41"/>
      <c r="D2709" s="26" t="e">
        <f>TRIM(INDEX(#REF!,MATCH(Composições!A2709,#REF!,0),1))</f>
        <v>#REF!</v>
      </c>
      <c r="E2709" s="27"/>
      <c r="F2709" s="42" t="s">
        <v>560</v>
      </c>
      <c r="G2709" s="28" t="str">
        <f t="shared" si="47"/>
        <v/>
      </c>
      <c r="H2709" s="29"/>
      <c r="I2709" s="30"/>
      <c r="J2709" s="155">
        <v>0</v>
      </c>
    </row>
    <row r="2710" spans="1:10" ht="15" hidden="1" thickBot="1" x14ac:dyDescent="0.35">
      <c r="A2710" s="229"/>
      <c r="B2710" s="224"/>
      <c r="C2710" s="32"/>
      <c r="D2710" s="32"/>
      <c r="E2710" s="33"/>
      <c r="F2710" s="43" t="s">
        <v>560</v>
      </c>
      <c r="G2710" s="34" t="str">
        <f t="shared" si="47"/>
        <v/>
      </c>
      <c r="H2710" s="35"/>
      <c r="I2710" s="31"/>
      <c r="J2710" s="155">
        <v>0</v>
      </c>
    </row>
    <row r="2711" spans="1:10" ht="15" hidden="1" thickBot="1" x14ac:dyDescent="0.35">
      <c r="A2711" s="229"/>
      <c r="B2711" s="224"/>
      <c r="C2711" s="36" t="s">
        <v>752</v>
      </c>
      <c r="D2711" s="47" t="s">
        <v>12</v>
      </c>
      <c r="E2711" s="37">
        <f>ROUND(220/(1+112.85%),4)</f>
        <v>103.3592</v>
      </c>
      <c r="F2711" s="31">
        <v>20.314999999999998</v>
      </c>
      <c r="G2711" s="34">
        <f t="shared" si="47"/>
        <v>2099.7421479999998</v>
      </c>
      <c r="H2711" s="39">
        <f>SUM(G2711:G2711)</f>
        <v>2099.7421479999998</v>
      </c>
      <c r="I2711" s="40"/>
      <c r="J2711" s="155">
        <v>0</v>
      </c>
    </row>
    <row r="2712" spans="1:10" ht="15" hidden="1" thickBot="1" x14ac:dyDescent="0.35">
      <c r="A2712" s="229"/>
      <c r="B2712" s="224"/>
      <c r="C2712" s="36"/>
      <c r="D2712" s="47"/>
      <c r="E2712" s="37"/>
      <c r="F2712" s="31" t="s">
        <v>560</v>
      </c>
      <c r="G2712" s="34" t="str">
        <f t="shared" si="47"/>
        <v/>
      </c>
      <c r="H2712" s="39"/>
      <c r="I2712" s="40"/>
      <c r="J2712" s="155">
        <v>0</v>
      </c>
    </row>
    <row r="2713" spans="1:10" ht="27" hidden="1" thickBot="1" x14ac:dyDescent="0.35">
      <c r="A2713" s="229"/>
      <c r="B2713" s="224"/>
      <c r="C2713" s="48" t="s">
        <v>822</v>
      </c>
      <c r="D2713" s="47"/>
      <c r="E2713" s="37"/>
      <c r="F2713" s="31" t="s">
        <v>560</v>
      </c>
      <c r="G2713" s="34" t="str">
        <f t="shared" si="47"/>
        <v/>
      </c>
      <c r="H2713" s="39"/>
      <c r="I2713" s="40"/>
      <c r="J2713" s="155">
        <v>0</v>
      </c>
    </row>
    <row r="2714" spans="1:10" ht="15" hidden="1" thickBot="1" x14ac:dyDescent="0.35">
      <c r="A2714" s="230"/>
      <c r="B2714" s="225"/>
      <c r="C2714" s="36"/>
      <c r="D2714" s="36"/>
      <c r="E2714" s="37"/>
      <c r="F2714" s="31" t="s">
        <v>560</v>
      </c>
      <c r="G2714" s="34" t="str">
        <f t="shared" si="47"/>
        <v/>
      </c>
      <c r="H2714" s="35"/>
      <c r="I2714" s="31"/>
      <c r="J2714" s="155">
        <v>0</v>
      </c>
    </row>
    <row r="2715" spans="1:10" ht="15" hidden="1" thickBot="1" x14ac:dyDescent="0.35">
      <c r="A2715" s="220" t="s">
        <v>1603</v>
      </c>
      <c r="B2715" s="223" t="e">
        <f>INDEX(#REF!,MATCH(Composições!A2715,#REF!,0),2)</f>
        <v>#REF!</v>
      </c>
      <c r="C2715" s="41"/>
      <c r="D2715" s="26" t="e">
        <f>TRIM(INDEX(#REF!,MATCH(Composições!A2715,#REF!,0),1))</f>
        <v>#REF!</v>
      </c>
      <c r="E2715" s="27"/>
      <c r="F2715" s="49" t="s">
        <v>560</v>
      </c>
      <c r="G2715" s="28" t="str">
        <f t="shared" si="47"/>
        <v/>
      </c>
      <c r="H2715" s="29"/>
      <c r="I2715" s="30"/>
      <c r="J2715" s="155">
        <v>0</v>
      </c>
    </row>
    <row r="2716" spans="1:10" ht="15" hidden="1" thickBot="1" x14ac:dyDescent="0.35">
      <c r="A2716" s="221"/>
      <c r="B2716" s="224"/>
      <c r="C2716" s="170"/>
      <c r="D2716" s="170"/>
      <c r="E2716" s="171"/>
      <c r="F2716" s="54" t="s">
        <v>560</v>
      </c>
      <c r="G2716" s="54" t="str">
        <f t="shared" si="47"/>
        <v/>
      </c>
      <c r="H2716" s="73"/>
      <c r="I2716" s="74"/>
      <c r="J2716" s="155">
        <v>0</v>
      </c>
    </row>
    <row r="2717" spans="1:10" ht="27" hidden="1" thickBot="1" x14ac:dyDescent="0.35">
      <c r="A2717" s="221"/>
      <c r="B2717" s="224"/>
      <c r="C2717" s="36" t="s">
        <v>1721</v>
      </c>
      <c r="D2717" s="163" t="s">
        <v>20</v>
      </c>
      <c r="E2717" s="164">
        <v>1</v>
      </c>
      <c r="F2717" s="31">
        <v>15.291499999999997</v>
      </c>
      <c r="G2717" s="54">
        <f t="shared" si="47"/>
        <v>15.291499999999997</v>
      </c>
      <c r="H2717" s="39">
        <f>SUM(G2717:G2717)</f>
        <v>15.291499999999997</v>
      </c>
      <c r="I2717" s="40"/>
      <c r="J2717" s="155">
        <v>0</v>
      </c>
    </row>
    <row r="2718" spans="1:10" ht="15" hidden="1" thickBot="1" x14ac:dyDescent="0.35">
      <c r="A2718" s="222"/>
      <c r="B2718" s="225"/>
      <c r="C2718" s="55"/>
      <c r="D2718" s="166"/>
      <c r="E2718" s="66"/>
      <c r="F2718" s="76" t="s">
        <v>560</v>
      </c>
      <c r="G2718" s="76" t="str">
        <f t="shared" si="47"/>
        <v/>
      </c>
      <c r="H2718" s="77"/>
      <c r="I2718" s="74"/>
      <c r="J2718" s="155">
        <v>0</v>
      </c>
    </row>
    <row r="2719" spans="1:10" ht="15" hidden="1" thickBot="1" x14ac:dyDescent="0.35">
      <c r="A2719" s="226" t="s">
        <v>1604</v>
      </c>
      <c r="B2719" s="223" t="e">
        <f>INDEX(#REF!,MATCH(Composições!A2719,#REF!,0),2)</f>
        <v>#REF!</v>
      </c>
      <c r="C2719" s="41"/>
      <c r="D2719" s="26" t="e">
        <f>TRIM(INDEX(#REF!,MATCH(Composições!A2719,#REF!,0),1))</f>
        <v>#REF!</v>
      </c>
      <c r="E2719" s="27"/>
      <c r="F2719" s="49" t="s">
        <v>560</v>
      </c>
      <c r="G2719" s="28" t="str">
        <f t="shared" si="47"/>
        <v/>
      </c>
      <c r="H2719" s="29"/>
      <c r="I2719" s="30"/>
      <c r="J2719" s="155">
        <v>0</v>
      </c>
    </row>
    <row r="2720" spans="1:10" ht="15" hidden="1" thickBot="1" x14ac:dyDescent="0.35">
      <c r="A2720" s="229"/>
      <c r="B2720" s="224"/>
      <c r="C2720" s="170"/>
      <c r="D2720" s="170"/>
      <c r="E2720" s="171"/>
      <c r="F2720" s="54" t="s">
        <v>560</v>
      </c>
      <c r="G2720" s="54" t="str">
        <f t="shared" si="47"/>
        <v/>
      </c>
      <c r="H2720" s="73"/>
      <c r="I2720" s="31"/>
      <c r="J2720" s="155">
        <v>0</v>
      </c>
    </row>
    <row r="2721" spans="1:10" ht="27" hidden="1" thickBot="1" x14ac:dyDescent="0.35">
      <c r="A2721" s="229"/>
      <c r="B2721" s="224"/>
      <c r="C2721" s="36" t="s">
        <v>1833</v>
      </c>
      <c r="D2721" s="163" t="s">
        <v>20</v>
      </c>
      <c r="E2721" s="164">
        <v>1</v>
      </c>
      <c r="F2721" s="31">
        <v>157.34350000000001</v>
      </c>
      <c r="G2721" s="54">
        <f t="shared" si="47"/>
        <v>157.34350000000001</v>
      </c>
      <c r="H2721" s="39">
        <f>SUM(G2721:G2721)</f>
        <v>157.34350000000001</v>
      </c>
      <c r="I2721" s="40"/>
      <c r="J2721" s="155">
        <v>0</v>
      </c>
    </row>
    <row r="2722" spans="1:10" ht="15" hidden="1" thickBot="1" x14ac:dyDescent="0.35">
      <c r="A2722" s="230"/>
      <c r="B2722" s="225"/>
      <c r="C2722" s="36"/>
      <c r="D2722" s="36"/>
      <c r="E2722" s="37"/>
      <c r="F2722" s="31" t="s">
        <v>560</v>
      </c>
      <c r="G2722" s="34" t="str">
        <f t="shared" si="47"/>
        <v/>
      </c>
      <c r="H2722" s="35"/>
      <c r="I2722" s="31"/>
      <c r="J2722" s="155">
        <v>0</v>
      </c>
    </row>
    <row r="2723" spans="1:10" ht="15" hidden="1" thickBot="1" x14ac:dyDescent="0.35">
      <c r="A2723" s="220" t="s">
        <v>1605</v>
      </c>
      <c r="B2723" s="223" t="e">
        <f>INDEX(#REF!,MATCH(Composições!A2719,#REF!,0),2)</f>
        <v>#REF!</v>
      </c>
      <c r="C2723" s="41"/>
      <c r="D2723" s="26" t="e">
        <f>TRIM(INDEX(#REF!,MATCH(Composições!A2723,#REF!,0),1))</f>
        <v>#REF!</v>
      </c>
      <c r="E2723" s="27"/>
      <c r="F2723" s="49" t="s">
        <v>560</v>
      </c>
      <c r="G2723" s="28" t="str">
        <f t="shared" si="47"/>
        <v/>
      </c>
      <c r="H2723" s="29"/>
      <c r="I2723" s="30"/>
      <c r="J2723" s="155">
        <v>0</v>
      </c>
    </row>
    <row r="2724" spans="1:10" ht="15" hidden="1" thickBot="1" x14ac:dyDescent="0.35">
      <c r="A2724" s="221"/>
      <c r="B2724" s="224"/>
      <c r="C2724" s="170"/>
      <c r="D2724" s="170"/>
      <c r="E2724" s="171"/>
      <c r="F2724" s="54" t="s">
        <v>560</v>
      </c>
      <c r="G2724" s="54" t="str">
        <f t="shared" si="47"/>
        <v/>
      </c>
      <c r="H2724" s="73"/>
      <c r="I2724" s="74"/>
      <c r="J2724" s="155">
        <v>0</v>
      </c>
    </row>
    <row r="2725" spans="1:10" ht="27" hidden="1" thickBot="1" x14ac:dyDescent="0.35">
      <c r="A2725" s="221"/>
      <c r="B2725" s="224"/>
      <c r="C2725" s="36" t="s">
        <v>1856</v>
      </c>
      <c r="D2725" s="163" t="s">
        <v>20</v>
      </c>
      <c r="E2725" s="164">
        <v>1</v>
      </c>
      <c r="F2725" s="31">
        <v>138.227</v>
      </c>
      <c r="G2725" s="54">
        <f t="shared" si="47"/>
        <v>138.227</v>
      </c>
      <c r="H2725" s="39">
        <f>SUM(G2725:G2725)</f>
        <v>138.227</v>
      </c>
      <c r="I2725" s="40"/>
      <c r="J2725" s="155">
        <v>0</v>
      </c>
    </row>
    <row r="2726" spans="1:10" ht="15" hidden="1" thickBot="1" x14ac:dyDescent="0.35">
      <c r="A2726" s="222"/>
      <c r="B2726" s="225"/>
      <c r="C2726" s="55"/>
      <c r="D2726" s="166"/>
      <c r="E2726" s="66"/>
      <c r="F2726" s="76" t="s">
        <v>560</v>
      </c>
      <c r="G2726" s="76" t="str">
        <f t="shared" si="47"/>
        <v/>
      </c>
      <c r="H2726" s="77"/>
      <c r="I2726" s="74"/>
      <c r="J2726" s="155">
        <v>0</v>
      </c>
    </row>
    <row r="2727" spans="1:10" ht="15" hidden="1" thickBot="1" x14ac:dyDescent="0.35">
      <c r="A2727" s="226" t="s">
        <v>835</v>
      </c>
      <c r="B2727" s="223" t="e">
        <f>INDEX(#REF!,MATCH(Composições!A2727,#REF!,0),2)</f>
        <v>#REF!</v>
      </c>
      <c r="C2727" s="41"/>
      <c r="D2727" s="26" t="e">
        <f>TRIM(INDEX(#REF!,MATCH(Composições!A2727,#REF!,0),1))</f>
        <v>#REF!</v>
      </c>
      <c r="E2727" s="27"/>
      <c r="F2727" s="42" t="s">
        <v>560</v>
      </c>
      <c r="G2727" s="28" t="str">
        <f t="shared" si="47"/>
        <v/>
      </c>
      <c r="H2727" s="29"/>
      <c r="I2727" s="30"/>
      <c r="J2727" s="155">
        <v>0</v>
      </c>
    </row>
    <row r="2728" spans="1:10" ht="15" hidden="1" thickBot="1" x14ac:dyDescent="0.35">
      <c r="A2728" s="229"/>
      <c r="B2728" s="224"/>
      <c r="C2728" s="32"/>
      <c r="D2728" s="32"/>
      <c r="E2728" s="33"/>
      <c r="F2728" s="43" t="s">
        <v>560</v>
      </c>
      <c r="G2728" s="34" t="str">
        <f t="shared" si="47"/>
        <v/>
      </c>
      <c r="H2728" s="35"/>
      <c r="I2728" s="31"/>
      <c r="J2728" s="155">
        <v>0</v>
      </c>
    </row>
    <row r="2729" spans="1:10" ht="15" hidden="1" thickBot="1" x14ac:dyDescent="0.35">
      <c r="A2729" s="229"/>
      <c r="B2729" s="224"/>
      <c r="C2729" s="36" t="s">
        <v>68</v>
      </c>
      <c r="D2729" s="47" t="s">
        <v>12</v>
      </c>
      <c r="E2729" s="37">
        <v>1</v>
      </c>
      <c r="F2729" s="31">
        <v>18.861499999999999</v>
      </c>
      <c r="G2729" s="34">
        <f t="shared" si="47"/>
        <v>18.861499999999999</v>
      </c>
      <c r="H2729" s="39">
        <f>SUM(G2729:G2730)</f>
        <v>27.650500000000001</v>
      </c>
      <c r="I2729" s="40"/>
      <c r="J2729" s="155">
        <v>0</v>
      </c>
    </row>
    <row r="2730" spans="1:10" ht="15" hidden="1" thickBot="1" x14ac:dyDescent="0.35">
      <c r="A2730" s="229"/>
      <c r="B2730" s="224"/>
      <c r="C2730" s="36" t="s">
        <v>302</v>
      </c>
      <c r="D2730" s="36" t="s">
        <v>836</v>
      </c>
      <c r="E2730" s="37">
        <v>2</v>
      </c>
      <c r="F2730" s="34">
        <v>4.3944999999999999</v>
      </c>
      <c r="G2730" s="34">
        <f t="shared" si="47"/>
        <v>8.7889999999999997</v>
      </c>
      <c r="H2730" s="35"/>
      <c r="I2730" s="31"/>
      <c r="J2730" s="155">
        <v>0</v>
      </c>
    </row>
    <row r="2731" spans="1:10" ht="15" hidden="1" thickBot="1" x14ac:dyDescent="0.35">
      <c r="A2731" s="230"/>
      <c r="B2731" s="225"/>
      <c r="C2731" s="36"/>
      <c r="D2731" s="36"/>
      <c r="E2731" s="37"/>
      <c r="F2731" s="31" t="s">
        <v>560</v>
      </c>
      <c r="G2731" s="34" t="str">
        <f t="shared" si="47"/>
        <v/>
      </c>
      <c r="H2731" s="35"/>
      <c r="I2731" s="31"/>
      <c r="J2731" s="155">
        <v>0</v>
      </c>
    </row>
    <row r="2732" spans="1:10" ht="15" hidden="1" thickBot="1" x14ac:dyDescent="0.35">
      <c r="A2732" s="226" t="s">
        <v>837</v>
      </c>
      <c r="B2732" s="223" t="e">
        <f>INDEX(#REF!,MATCH(Composições!A2732,#REF!,0),2)</f>
        <v>#REF!</v>
      </c>
      <c r="C2732" s="41"/>
      <c r="D2732" s="26" t="e">
        <f>TRIM(INDEX(#REF!,MATCH(Composições!A2732,#REF!,0),1))</f>
        <v>#REF!</v>
      </c>
      <c r="E2732" s="27"/>
      <c r="F2732" s="42" t="s">
        <v>560</v>
      </c>
      <c r="G2732" s="28" t="str">
        <f t="shared" si="47"/>
        <v/>
      </c>
      <c r="H2732" s="29"/>
      <c r="I2732" s="30"/>
      <c r="J2732" s="155">
        <v>0</v>
      </c>
    </row>
    <row r="2733" spans="1:10" ht="15" hidden="1" thickBot="1" x14ac:dyDescent="0.35">
      <c r="A2733" s="229"/>
      <c r="B2733" s="224"/>
      <c r="C2733" s="32"/>
      <c r="D2733" s="32"/>
      <c r="E2733" s="33"/>
      <c r="F2733" s="43" t="s">
        <v>560</v>
      </c>
      <c r="G2733" s="34" t="str">
        <f t="shared" si="47"/>
        <v/>
      </c>
      <c r="H2733" s="35"/>
      <c r="I2733" s="31"/>
      <c r="J2733" s="155">
        <v>0</v>
      </c>
    </row>
    <row r="2734" spans="1:10" ht="15" hidden="1" thickBot="1" x14ac:dyDescent="0.35">
      <c r="A2734" s="229"/>
      <c r="B2734" s="224"/>
      <c r="C2734" s="36" t="s">
        <v>840</v>
      </c>
      <c r="D2734" s="36" t="s">
        <v>1035</v>
      </c>
      <c r="E2734" s="37">
        <v>1</v>
      </c>
      <c r="F2734" s="34">
        <v>126.0805</v>
      </c>
      <c r="G2734" s="34">
        <f t="shared" si="47"/>
        <v>126.0805</v>
      </c>
      <c r="H2734" s="39">
        <f>SUM(G2734:G2740)</f>
        <v>216.59149200000002</v>
      </c>
      <c r="I2734" s="40"/>
      <c r="J2734" s="155">
        <v>0</v>
      </c>
    </row>
    <row r="2735" spans="1:10" ht="40.200000000000003" hidden="1" thickBot="1" x14ac:dyDescent="0.35">
      <c r="A2735" s="229"/>
      <c r="B2735" s="224"/>
      <c r="C2735" s="36" t="s">
        <v>1711</v>
      </c>
      <c r="D2735" s="36" t="s">
        <v>292</v>
      </c>
      <c r="E2735" s="37">
        <v>1.913</v>
      </c>
      <c r="F2735" s="34">
        <v>0.28050000000000003</v>
      </c>
      <c r="G2735" s="34">
        <f t="shared" si="47"/>
        <v>0.53659650000000003</v>
      </c>
      <c r="H2735" s="35"/>
      <c r="I2735" s="31"/>
      <c r="J2735" s="155">
        <v>0</v>
      </c>
    </row>
    <row r="2736" spans="1:10" ht="15" hidden="1" thickBot="1" x14ac:dyDescent="0.35">
      <c r="A2736" s="229"/>
      <c r="B2736" s="224"/>
      <c r="C2736" s="36" t="s">
        <v>876</v>
      </c>
      <c r="D2736" s="36" t="s">
        <v>939</v>
      </c>
      <c r="E2736" s="37">
        <v>0.83899999999999997</v>
      </c>
      <c r="F2736" s="34">
        <v>34.305999999999997</v>
      </c>
      <c r="G2736" s="34">
        <f t="shared" si="47"/>
        <v>28.782733999999998</v>
      </c>
      <c r="H2736" s="35"/>
      <c r="I2736" s="31"/>
      <c r="J2736" s="155">
        <v>0</v>
      </c>
    </row>
    <row r="2737" spans="1:10" ht="27" hidden="1" thickBot="1" x14ac:dyDescent="0.35">
      <c r="A2737" s="229"/>
      <c r="B2737" s="224"/>
      <c r="C2737" s="36" t="s">
        <v>1786</v>
      </c>
      <c r="D2737" s="36" t="s">
        <v>515</v>
      </c>
      <c r="E2737" s="37">
        <v>2.605</v>
      </c>
      <c r="F2737" s="34">
        <v>1.7084999999999997</v>
      </c>
      <c r="G2737" s="34">
        <f t="shared" si="47"/>
        <v>4.4506424999999989</v>
      </c>
      <c r="H2737" s="35"/>
      <c r="I2737" s="31"/>
      <c r="J2737" s="155">
        <v>0</v>
      </c>
    </row>
    <row r="2738" spans="1:10" ht="15" hidden="1" thickBot="1" x14ac:dyDescent="0.35">
      <c r="A2738" s="229"/>
      <c r="B2738" s="224"/>
      <c r="C2738" s="36" t="s">
        <v>1176</v>
      </c>
      <c r="D2738" s="36" t="s">
        <v>292</v>
      </c>
      <c r="E2738" s="37">
        <v>0.34599999999999997</v>
      </c>
      <c r="F2738" s="34">
        <v>18.071000000000002</v>
      </c>
      <c r="G2738" s="34">
        <f t="shared" si="47"/>
        <v>6.2525659999999998</v>
      </c>
      <c r="H2738" s="35"/>
      <c r="I2738" s="31"/>
      <c r="J2738" s="155">
        <v>0</v>
      </c>
    </row>
    <row r="2739" spans="1:10" ht="15" hidden="1" thickBot="1" x14ac:dyDescent="0.35">
      <c r="A2739" s="229"/>
      <c r="B2739" s="224"/>
      <c r="C2739" s="36" t="s">
        <v>745</v>
      </c>
      <c r="D2739" s="36" t="s">
        <v>744</v>
      </c>
      <c r="E2739" s="37">
        <v>1.4690000000000001</v>
      </c>
      <c r="F2739" s="34">
        <v>14.968499999999999</v>
      </c>
      <c r="G2739" s="34">
        <f t="shared" si="47"/>
        <v>21.988726499999999</v>
      </c>
      <c r="H2739" s="35"/>
      <c r="I2739" s="31"/>
      <c r="J2739" s="155">
        <v>0</v>
      </c>
    </row>
    <row r="2740" spans="1:10" ht="15" hidden="1" thickBot="1" x14ac:dyDescent="0.35">
      <c r="A2740" s="229"/>
      <c r="B2740" s="224"/>
      <c r="C2740" s="36" t="s">
        <v>1698</v>
      </c>
      <c r="D2740" s="36" t="s">
        <v>744</v>
      </c>
      <c r="E2740" s="37">
        <v>1.5109999999999999</v>
      </c>
      <c r="F2740" s="34">
        <v>18.861499999999999</v>
      </c>
      <c r="G2740" s="34">
        <f t="shared" si="47"/>
        <v>28.499726499999998</v>
      </c>
      <c r="H2740" s="35"/>
      <c r="I2740" s="31"/>
      <c r="J2740" s="155">
        <v>0</v>
      </c>
    </row>
    <row r="2741" spans="1:10" ht="15" hidden="1" thickBot="1" x14ac:dyDescent="0.35">
      <c r="A2741" s="230"/>
      <c r="B2741" s="225"/>
      <c r="C2741" s="36"/>
      <c r="D2741" s="36"/>
      <c r="E2741" s="37"/>
      <c r="F2741" s="31" t="s">
        <v>560</v>
      </c>
      <c r="G2741" s="34" t="str">
        <f t="shared" si="47"/>
        <v/>
      </c>
      <c r="H2741" s="35"/>
      <c r="I2741" s="31"/>
      <c r="J2741" s="155">
        <v>0</v>
      </c>
    </row>
    <row r="2742" spans="1:10" ht="15" hidden="1" thickBot="1" x14ac:dyDescent="0.35">
      <c r="A2742" s="226" t="s">
        <v>839</v>
      </c>
      <c r="B2742" s="223" t="e">
        <f>INDEX(#REF!,MATCH(Composições!A2742,#REF!,0),2)</f>
        <v>#REF!</v>
      </c>
      <c r="C2742" s="41"/>
      <c r="D2742" s="26" t="e">
        <f>TRIM(INDEX(#REF!,MATCH(Composições!A2742,#REF!,0),1))</f>
        <v>#REF!</v>
      </c>
      <c r="E2742" s="27"/>
      <c r="F2742" s="42" t="s">
        <v>560</v>
      </c>
      <c r="G2742" s="28" t="str">
        <f t="shared" si="47"/>
        <v/>
      </c>
      <c r="H2742" s="29"/>
      <c r="I2742" s="30"/>
      <c r="J2742" s="155">
        <v>0</v>
      </c>
    </row>
    <row r="2743" spans="1:10" ht="15" hidden="1" thickBot="1" x14ac:dyDescent="0.35">
      <c r="A2743" s="229"/>
      <c r="B2743" s="224"/>
      <c r="C2743" s="32"/>
      <c r="D2743" s="32"/>
      <c r="E2743" s="33"/>
      <c r="F2743" s="43" t="s">
        <v>560</v>
      </c>
      <c r="G2743" s="34" t="str">
        <f t="shared" si="47"/>
        <v/>
      </c>
      <c r="H2743" s="35"/>
      <c r="I2743" s="31"/>
      <c r="J2743" s="155">
        <v>0</v>
      </c>
    </row>
    <row r="2744" spans="1:10" ht="15" hidden="1" thickBot="1" x14ac:dyDescent="0.35">
      <c r="A2744" s="229"/>
      <c r="B2744" s="224"/>
      <c r="C2744" s="36" t="s">
        <v>68</v>
      </c>
      <c r="D2744" s="47" t="s">
        <v>12</v>
      </c>
      <c r="E2744" s="37">
        <v>1</v>
      </c>
      <c r="F2744" s="34">
        <v>18.861499999999999</v>
      </c>
      <c r="G2744" s="34">
        <f t="shared" si="47"/>
        <v>18.861499999999999</v>
      </c>
      <c r="H2744" s="39">
        <f>SUM(G2744:G2746)</f>
        <v>108.29849999999999</v>
      </c>
      <c r="I2744" s="40"/>
      <c r="J2744" s="155">
        <v>0</v>
      </c>
    </row>
    <row r="2745" spans="1:10" ht="15" hidden="1" thickBot="1" x14ac:dyDescent="0.35">
      <c r="A2745" s="229"/>
      <c r="B2745" s="224"/>
      <c r="C2745" s="36" t="s">
        <v>302</v>
      </c>
      <c r="D2745" s="47" t="s">
        <v>836</v>
      </c>
      <c r="E2745" s="37">
        <v>2</v>
      </c>
      <c r="F2745" s="31">
        <v>4.3944999999999999</v>
      </c>
      <c r="G2745" s="34">
        <f t="shared" si="47"/>
        <v>8.7889999999999997</v>
      </c>
      <c r="H2745" s="35"/>
      <c r="I2745" s="31"/>
      <c r="J2745" s="155">
        <v>0</v>
      </c>
    </row>
    <row r="2746" spans="1:10" ht="15" hidden="1" thickBot="1" x14ac:dyDescent="0.35">
      <c r="A2746" s="229"/>
      <c r="B2746" s="224"/>
      <c r="C2746" s="36" t="s">
        <v>838</v>
      </c>
      <c r="D2746" s="36" t="s">
        <v>95</v>
      </c>
      <c r="E2746" s="37">
        <v>1</v>
      </c>
      <c r="F2746" s="31">
        <v>80.647999999999996</v>
      </c>
      <c r="G2746" s="34">
        <f t="shared" si="47"/>
        <v>80.647999999999996</v>
      </c>
      <c r="H2746" s="35"/>
      <c r="I2746" s="31"/>
      <c r="J2746" s="155">
        <v>0</v>
      </c>
    </row>
    <row r="2747" spans="1:10" ht="15" hidden="1" thickBot="1" x14ac:dyDescent="0.35">
      <c r="A2747" s="230"/>
      <c r="B2747" s="225"/>
      <c r="C2747" s="36"/>
      <c r="D2747" s="36"/>
      <c r="E2747" s="37"/>
      <c r="F2747" s="31" t="s">
        <v>560</v>
      </c>
      <c r="G2747" s="34" t="str">
        <f t="shared" si="47"/>
        <v/>
      </c>
      <c r="H2747" s="35"/>
      <c r="I2747" s="31"/>
      <c r="J2747" s="155">
        <v>0</v>
      </c>
    </row>
    <row r="2748" spans="1:10" ht="15" hidden="1" thickBot="1" x14ac:dyDescent="0.35">
      <c r="A2748" s="226" t="s">
        <v>1606</v>
      </c>
      <c r="B2748" s="223" t="e">
        <f>INDEX(#REF!,MATCH(Composições!A2748,#REF!,0),2)</f>
        <v>#REF!</v>
      </c>
      <c r="C2748" s="41"/>
      <c r="D2748" s="26" t="e">
        <f>TRIM(INDEX(#REF!,MATCH(Composições!A2748,#REF!,0),1))</f>
        <v>#REF!</v>
      </c>
      <c r="E2748" s="27"/>
      <c r="F2748" s="42" t="s">
        <v>560</v>
      </c>
      <c r="G2748" s="28" t="str">
        <f t="shared" si="47"/>
        <v/>
      </c>
      <c r="H2748" s="29"/>
      <c r="I2748" s="30"/>
      <c r="J2748" s="155">
        <v>0</v>
      </c>
    </row>
    <row r="2749" spans="1:10" ht="15" hidden="1" thickBot="1" x14ac:dyDescent="0.35">
      <c r="A2749" s="229"/>
      <c r="B2749" s="224"/>
      <c r="C2749" s="32"/>
      <c r="D2749" s="32"/>
      <c r="E2749" s="33"/>
      <c r="F2749" s="43" t="s">
        <v>560</v>
      </c>
      <c r="G2749" s="34" t="str">
        <f t="shared" si="47"/>
        <v/>
      </c>
      <c r="H2749" s="35"/>
      <c r="I2749" s="31"/>
      <c r="J2749" s="155">
        <v>0</v>
      </c>
    </row>
    <row r="2750" spans="1:10" ht="15" hidden="1" thickBot="1" x14ac:dyDescent="0.35">
      <c r="A2750" s="229"/>
      <c r="B2750" s="224"/>
      <c r="C2750" s="36" t="s">
        <v>68</v>
      </c>
      <c r="D2750" s="47" t="s">
        <v>12</v>
      </c>
      <c r="E2750" s="37">
        <v>0.5</v>
      </c>
      <c r="F2750" s="31">
        <v>18.861499999999999</v>
      </c>
      <c r="G2750" s="34">
        <f t="shared" si="47"/>
        <v>9.4307499999999997</v>
      </c>
      <c r="H2750" s="39">
        <f>SUM(G2750:G2751)</f>
        <v>16.914999999999999</v>
      </c>
      <c r="I2750" s="40"/>
      <c r="J2750" s="155">
        <v>0</v>
      </c>
    </row>
    <row r="2751" spans="1:10" ht="15" hidden="1" thickBot="1" x14ac:dyDescent="0.35">
      <c r="A2751" s="229"/>
      <c r="B2751" s="224"/>
      <c r="C2751" s="36" t="s">
        <v>23</v>
      </c>
      <c r="D2751" s="47" t="s">
        <v>12</v>
      </c>
      <c r="E2751" s="37">
        <v>0.5</v>
      </c>
      <c r="F2751" s="31">
        <v>14.968499999999999</v>
      </c>
      <c r="G2751" s="34">
        <f t="shared" si="47"/>
        <v>7.4842499999999994</v>
      </c>
      <c r="H2751" s="35"/>
      <c r="I2751" s="31"/>
      <c r="J2751" s="155">
        <v>0</v>
      </c>
    </row>
    <row r="2752" spans="1:10" ht="15" hidden="1" thickBot="1" x14ac:dyDescent="0.35">
      <c r="A2752" s="230"/>
      <c r="B2752" s="225"/>
      <c r="C2752" s="36"/>
      <c r="D2752" s="36"/>
      <c r="E2752" s="37"/>
      <c r="F2752" s="31" t="s">
        <v>560</v>
      </c>
      <c r="G2752" s="34" t="str">
        <f t="shared" si="47"/>
        <v/>
      </c>
      <c r="H2752" s="35"/>
      <c r="I2752" s="31"/>
      <c r="J2752" s="155">
        <v>0</v>
      </c>
    </row>
    <row r="2753" spans="1:10" ht="15" hidden="1" thickBot="1" x14ac:dyDescent="0.35">
      <c r="A2753" s="226" t="s">
        <v>1607</v>
      </c>
      <c r="B2753" s="223" t="e">
        <f>INDEX(#REF!,MATCH(Composições!A2753,#REF!,0),2)</f>
        <v>#REF!</v>
      </c>
      <c r="C2753" s="41"/>
      <c r="D2753" s="26" t="e">
        <f>TRIM(INDEX(#REF!,MATCH(Composições!A2753,#REF!,0),1))</f>
        <v>#REF!</v>
      </c>
      <c r="E2753" s="27"/>
      <c r="F2753" s="42" t="s">
        <v>560</v>
      </c>
      <c r="G2753" s="28" t="str">
        <f t="shared" ref="G2753:G2816" si="48">IF(ISNUMBER(F2753),E2753*F2753,"")</f>
        <v/>
      </c>
      <c r="H2753" s="29"/>
      <c r="I2753" s="30"/>
      <c r="J2753" s="155">
        <v>0</v>
      </c>
    </row>
    <row r="2754" spans="1:10" ht="15" hidden="1" thickBot="1" x14ac:dyDescent="0.35">
      <c r="A2754" s="229"/>
      <c r="B2754" s="224"/>
      <c r="C2754" s="32"/>
      <c r="D2754" s="32"/>
      <c r="E2754" s="33"/>
      <c r="F2754" s="43" t="s">
        <v>560</v>
      </c>
      <c r="G2754" s="34" t="str">
        <f t="shared" si="48"/>
        <v/>
      </c>
      <c r="H2754" s="35"/>
      <c r="I2754" s="31"/>
      <c r="J2754" s="155">
        <v>0</v>
      </c>
    </row>
    <row r="2755" spans="1:10" ht="15" hidden="1" thickBot="1" x14ac:dyDescent="0.35">
      <c r="A2755" s="229"/>
      <c r="B2755" s="224"/>
      <c r="C2755" s="36" t="s">
        <v>68</v>
      </c>
      <c r="D2755" s="47" t="s">
        <v>12</v>
      </c>
      <c r="E2755" s="37">
        <v>0.75</v>
      </c>
      <c r="F2755" s="31">
        <v>18.861499999999999</v>
      </c>
      <c r="G2755" s="34">
        <f t="shared" si="48"/>
        <v>14.146125</v>
      </c>
      <c r="H2755" s="39">
        <f>SUM(G2755:G2756)</f>
        <v>25.372499999999999</v>
      </c>
      <c r="I2755" s="40"/>
      <c r="J2755" s="155">
        <v>0</v>
      </c>
    </row>
    <row r="2756" spans="1:10" ht="15" hidden="1" thickBot="1" x14ac:dyDescent="0.35">
      <c r="A2756" s="229"/>
      <c r="B2756" s="224"/>
      <c r="C2756" s="36" t="s">
        <v>23</v>
      </c>
      <c r="D2756" s="47" t="s">
        <v>12</v>
      </c>
      <c r="E2756" s="37">
        <v>0.75</v>
      </c>
      <c r="F2756" s="31">
        <v>14.968499999999999</v>
      </c>
      <c r="G2756" s="34">
        <f t="shared" si="48"/>
        <v>11.226374999999999</v>
      </c>
      <c r="H2756" s="35"/>
      <c r="I2756" s="31"/>
      <c r="J2756" s="155">
        <v>0</v>
      </c>
    </row>
    <row r="2757" spans="1:10" ht="15" hidden="1" thickBot="1" x14ac:dyDescent="0.35">
      <c r="A2757" s="230"/>
      <c r="B2757" s="225"/>
      <c r="C2757" s="36"/>
      <c r="D2757" s="36"/>
      <c r="E2757" s="37"/>
      <c r="F2757" s="31" t="s">
        <v>560</v>
      </c>
      <c r="G2757" s="34" t="str">
        <f t="shared" si="48"/>
        <v/>
      </c>
      <c r="H2757" s="35"/>
      <c r="I2757" s="31"/>
      <c r="J2757" s="155">
        <v>0</v>
      </c>
    </row>
    <row r="2758" spans="1:10" ht="15" hidden="1" thickBot="1" x14ac:dyDescent="0.35">
      <c r="A2758" s="226" t="s">
        <v>841</v>
      </c>
      <c r="B2758" s="223" t="e">
        <f>INDEX(#REF!,MATCH(Composições!A2758,#REF!,0),2)</f>
        <v>#REF!</v>
      </c>
      <c r="C2758" s="41"/>
      <c r="D2758" s="26" t="e">
        <f>TRIM(INDEX(#REF!,MATCH(Composições!A2758,#REF!,0),1))</f>
        <v>#REF!</v>
      </c>
      <c r="E2758" s="27"/>
      <c r="F2758" s="42" t="s">
        <v>560</v>
      </c>
      <c r="G2758" s="28" t="str">
        <f t="shared" si="48"/>
        <v/>
      </c>
      <c r="H2758" s="29"/>
      <c r="I2758" s="30"/>
      <c r="J2758" s="155">
        <v>0</v>
      </c>
    </row>
    <row r="2759" spans="1:10" ht="15" hidden="1" thickBot="1" x14ac:dyDescent="0.35">
      <c r="A2759" s="229"/>
      <c r="B2759" s="224"/>
      <c r="C2759" s="32"/>
      <c r="D2759" s="32"/>
      <c r="E2759" s="33"/>
      <c r="F2759" s="43" t="s">
        <v>560</v>
      </c>
      <c r="G2759" s="34" t="str">
        <f t="shared" si="48"/>
        <v/>
      </c>
      <c r="H2759" s="35"/>
      <c r="I2759" s="31"/>
      <c r="J2759" s="155">
        <v>0</v>
      </c>
    </row>
    <row r="2760" spans="1:10" ht="15" hidden="1" thickBot="1" x14ac:dyDescent="0.35">
      <c r="A2760" s="229"/>
      <c r="B2760" s="224"/>
      <c r="C2760" s="36" t="s">
        <v>842</v>
      </c>
      <c r="D2760" s="36" t="s">
        <v>1035</v>
      </c>
      <c r="E2760" s="37">
        <v>1</v>
      </c>
      <c r="F2760" s="34">
        <v>163.68449999999999</v>
      </c>
      <c r="G2760" s="34">
        <f t="shared" si="48"/>
        <v>163.68449999999999</v>
      </c>
      <c r="H2760" s="39">
        <f>SUM(G2760:G2766)</f>
        <v>246.74691649999997</v>
      </c>
      <c r="I2760" s="40"/>
      <c r="J2760" s="155">
        <v>0</v>
      </c>
    </row>
    <row r="2761" spans="1:10" ht="40.200000000000003" hidden="1" thickBot="1" x14ac:dyDescent="0.35">
      <c r="A2761" s="229"/>
      <c r="B2761" s="224"/>
      <c r="C2761" s="36" t="s">
        <v>1711</v>
      </c>
      <c r="D2761" s="36" t="s">
        <v>292</v>
      </c>
      <c r="E2761" s="37">
        <v>1.7050000000000001</v>
      </c>
      <c r="F2761" s="34">
        <v>0.28050000000000003</v>
      </c>
      <c r="G2761" s="34">
        <f t="shared" si="48"/>
        <v>0.47825250000000008</v>
      </c>
      <c r="H2761" s="35"/>
      <c r="I2761" s="31"/>
      <c r="J2761" s="155">
        <v>0</v>
      </c>
    </row>
    <row r="2762" spans="1:10" ht="15" hidden="1" thickBot="1" x14ac:dyDescent="0.35">
      <c r="A2762" s="229"/>
      <c r="B2762" s="224"/>
      <c r="C2762" s="36" t="s">
        <v>876</v>
      </c>
      <c r="D2762" s="36" t="s">
        <v>939</v>
      </c>
      <c r="E2762" s="37">
        <v>0.748</v>
      </c>
      <c r="F2762" s="34">
        <v>34.305999999999997</v>
      </c>
      <c r="G2762" s="34">
        <f t="shared" si="48"/>
        <v>25.660887999999996</v>
      </c>
      <c r="H2762" s="35"/>
      <c r="I2762" s="31"/>
      <c r="J2762" s="155">
        <v>0</v>
      </c>
    </row>
    <row r="2763" spans="1:10" ht="27" hidden="1" thickBot="1" x14ac:dyDescent="0.35">
      <c r="A2763" s="229"/>
      <c r="B2763" s="224"/>
      <c r="C2763" s="36" t="s">
        <v>1786</v>
      </c>
      <c r="D2763" s="36" t="s">
        <v>515</v>
      </c>
      <c r="E2763" s="37">
        <v>2.3220000000000001</v>
      </c>
      <c r="F2763" s="34">
        <v>1.7084999999999997</v>
      </c>
      <c r="G2763" s="34">
        <f t="shared" si="48"/>
        <v>3.9671369999999992</v>
      </c>
      <c r="H2763" s="35"/>
      <c r="I2763" s="31"/>
      <c r="J2763" s="155">
        <v>0</v>
      </c>
    </row>
    <row r="2764" spans="1:10" ht="15" hidden="1" thickBot="1" x14ac:dyDescent="0.35">
      <c r="A2764" s="229"/>
      <c r="B2764" s="224"/>
      <c r="C2764" s="36" t="s">
        <v>1176</v>
      </c>
      <c r="D2764" s="36" t="s">
        <v>292</v>
      </c>
      <c r="E2764" s="37">
        <v>0.309</v>
      </c>
      <c r="F2764" s="34">
        <v>18.071000000000002</v>
      </c>
      <c r="G2764" s="34">
        <f t="shared" si="48"/>
        <v>5.583939</v>
      </c>
      <c r="H2764" s="35"/>
      <c r="I2764" s="31"/>
      <c r="J2764" s="155">
        <v>0</v>
      </c>
    </row>
    <row r="2765" spans="1:10" ht="15" hidden="1" thickBot="1" x14ac:dyDescent="0.35">
      <c r="A2765" s="229"/>
      <c r="B2765" s="224"/>
      <c r="C2765" s="36" t="s">
        <v>745</v>
      </c>
      <c r="D2765" s="36" t="s">
        <v>744</v>
      </c>
      <c r="E2765" s="37">
        <v>1.3779999999999999</v>
      </c>
      <c r="F2765" s="31">
        <v>14.968499999999999</v>
      </c>
      <c r="G2765" s="34">
        <f t="shared" si="48"/>
        <v>20.626592999999996</v>
      </c>
      <c r="H2765" s="35"/>
      <c r="I2765" s="31"/>
      <c r="J2765" s="155">
        <v>0</v>
      </c>
    </row>
    <row r="2766" spans="1:10" ht="15" hidden="1" thickBot="1" x14ac:dyDescent="0.35">
      <c r="A2766" s="229"/>
      <c r="B2766" s="224"/>
      <c r="C2766" s="36" t="s">
        <v>1698</v>
      </c>
      <c r="D2766" s="36" t="s">
        <v>744</v>
      </c>
      <c r="E2766" s="37">
        <v>1.4179999999999999</v>
      </c>
      <c r="F2766" s="31">
        <v>18.861499999999999</v>
      </c>
      <c r="G2766" s="34">
        <f t="shared" si="48"/>
        <v>26.745606999999996</v>
      </c>
      <c r="H2766" s="35"/>
      <c r="I2766" s="31"/>
      <c r="J2766" s="155">
        <v>0</v>
      </c>
    </row>
    <row r="2767" spans="1:10" ht="15" hidden="1" thickBot="1" x14ac:dyDescent="0.35">
      <c r="A2767" s="230"/>
      <c r="B2767" s="225"/>
      <c r="C2767" s="36"/>
      <c r="D2767" s="36"/>
      <c r="E2767" s="37"/>
      <c r="F2767" s="31" t="s">
        <v>560</v>
      </c>
      <c r="G2767" s="34" t="str">
        <f t="shared" si="48"/>
        <v/>
      </c>
      <c r="H2767" s="35"/>
      <c r="I2767" s="31"/>
      <c r="J2767" s="155">
        <v>0</v>
      </c>
    </row>
    <row r="2768" spans="1:10" ht="15" hidden="1" thickBot="1" x14ac:dyDescent="0.35">
      <c r="A2768" s="226" t="s">
        <v>843</v>
      </c>
      <c r="B2768" s="223" t="e">
        <f>INDEX(#REF!,MATCH(Composições!A2768,#REF!,0),2)</f>
        <v>#REF!</v>
      </c>
      <c r="C2768" s="41"/>
      <c r="D2768" s="26" t="e">
        <f>TRIM(INDEX(#REF!,MATCH(Composições!A2768,#REF!,0),1))</f>
        <v>#REF!</v>
      </c>
      <c r="E2768" s="27"/>
      <c r="F2768" s="42" t="s">
        <v>560</v>
      </c>
      <c r="G2768" s="28" t="str">
        <f t="shared" si="48"/>
        <v/>
      </c>
      <c r="H2768" s="29"/>
      <c r="I2768" s="30"/>
      <c r="J2768" s="155">
        <v>0</v>
      </c>
    </row>
    <row r="2769" spans="1:10" ht="15" hidden="1" thickBot="1" x14ac:dyDescent="0.35">
      <c r="A2769" s="229"/>
      <c r="B2769" s="224"/>
      <c r="C2769" s="32"/>
      <c r="D2769" s="32"/>
      <c r="E2769" s="33"/>
      <c r="F2769" s="43" t="s">
        <v>560</v>
      </c>
      <c r="G2769" s="34" t="str">
        <f t="shared" si="48"/>
        <v/>
      </c>
      <c r="H2769" s="35"/>
      <c r="I2769" s="31"/>
      <c r="J2769" s="155">
        <v>0</v>
      </c>
    </row>
    <row r="2770" spans="1:10" ht="15" hidden="1" thickBot="1" x14ac:dyDescent="0.35">
      <c r="A2770" s="229"/>
      <c r="B2770" s="224"/>
      <c r="C2770" s="36" t="s">
        <v>68</v>
      </c>
      <c r="D2770" s="36" t="s">
        <v>12</v>
      </c>
      <c r="E2770" s="37">
        <v>0.15</v>
      </c>
      <c r="F2770" s="34">
        <v>18.861499999999999</v>
      </c>
      <c r="G2770" s="34">
        <f t="shared" si="48"/>
        <v>2.8292249999999997</v>
      </c>
      <c r="H2770" s="39">
        <f>SUM(G2770:G2771)</f>
        <v>2.8292249999999997</v>
      </c>
      <c r="I2770" s="40"/>
      <c r="J2770" s="155">
        <v>0</v>
      </c>
    </row>
    <row r="2771" spans="1:10" ht="27" hidden="1" thickBot="1" x14ac:dyDescent="0.35">
      <c r="A2771" s="229"/>
      <c r="B2771" s="224"/>
      <c r="C2771" s="36" t="s">
        <v>844</v>
      </c>
      <c r="D2771" s="36" t="s">
        <v>20</v>
      </c>
      <c r="E2771" s="37">
        <v>1</v>
      </c>
      <c r="F2771" s="31">
        <v>0</v>
      </c>
      <c r="G2771" s="34">
        <f t="shared" si="48"/>
        <v>0</v>
      </c>
      <c r="H2771" s="35"/>
      <c r="I2771" s="31"/>
      <c r="J2771" s="155">
        <v>0</v>
      </c>
    </row>
    <row r="2772" spans="1:10" ht="15" hidden="1" thickBot="1" x14ac:dyDescent="0.35">
      <c r="A2772" s="230"/>
      <c r="B2772" s="225"/>
      <c r="C2772" s="36"/>
      <c r="D2772" s="36"/>
      <c r="E2772" s="37"/>
      <c r="F2772" s="31" t="s">
        <v>560</v>
      </c>
      <c r="G2772" s="34" t="str">
        <f t="shared" si="48"/>
        <v/>
      </c>
      <c r="H2772" s="35"/>
      <c r="I2772" s="31"/>
      <c r="J2772" s="155">
        <v>0</v>
      </c>
    </row>
    <row r="2773" spans="1:10" ht="15" hidden="1" thickBot="1" x14ac:dyDescent="0.35">
      <c r="A2773" s="226" t="s">
        <v>845</v>
      </c>
      <c r="B2773" s="223" t="e">
        <f>INDEX(#REF!,MATCH(Composições!A2773,#REF!,0),2)</f>
        <v>#REF!</v>
      </c>
      <c r="C2773" s="41"/>
      <c r="D2773" s="26" t="e">
        <f>TRIM(INDEX(#REF!,MATCH(Composições!A2773,#REF!,0),1))</f>
        <v>#REF!</v>
      </c>
      <c r="E2773" s="27"/>
      <c r="F2773" s="42" t="s">
        <v>560</v>
      </c>
      <c r="G2773" s="28" t="str">
        <f t="shared" si="48"/>
        <v/>
      </c>
      <c r="H2773" s="29"/>
      <c r="I2773" s="30"/>
      <c r="J2773" s="155">
        <v>0</v>
      </c>
    </row>
    <row r="2774" spans="1:10" ht="15" hidden="1" thickBot="1" x14ac:dyDescent="0.35">
      <c r="A2774" s="229"/>
      <c r="B2774" s="224"/>
      <c r="C2774" s="32"/>
      <c r="D2774" s="32"/>
      <c r="E2774" s="33"/>
      <c r="F2774" s="43" t="s">
        <v>560</v>
      </c>
      <c r="G2774" s="34" t="str">
        <f t="shared" si="48"/>
        <v/>
      </c>
      <c r="H2774" s="35"/>
      <c r="I2774" s="31"/>
      <c r="J2774" s="155">
        <v>0</v>
      </c>
    </row>
    <row r="2775" spans="1:10" ht="15" hidden="1" thickBot="1" x14ac:dyDescent="0.35">
      <c r="A2775" s="229"/>
      <c r="B2775" s="224"/>
      <c r="C2775" s="36" t="s">
        <v>68</v>
      </c>
      <c r="D2775" s="47" t="s">
        <v>12</v>
      </c>
      <c r="E2775" s="37">
        <v>0.3</v>
      </c>
      <c r="F2775" s="34">
        <v>18.861499999999999</v>
      </c>
      <c r="G2775" s="34">
        <f t="shared" si="48"/>
        <v>5.6584499999999993</v>
      </c>
      <c r="H2775" s="39">
        <f>SUM(G2775:G2776)</f>
        <v>22.896449999999998</v>
      </c>
      <c r="I2775" s="40"/>
      <c r="J2775" s="155">
        <v>0</v>
      </c>
    </row>
    <row r="2776" spans="1:10" ht="27" hidden="1" thickBot="1" x14ac:dyDescent="0.35">
      <c r="A2776" s="229"/>
      <c r="B2776" s="224"/>
      <c r="C2776" s="36" t="s">
        <v>846</v>
      </c>
      <c r="D2776" s="47" t="s">
        <v>20</v>
      </c>
      <c r="E2776" s="37">
        <v>1</v>
      </c>
      <c r="F2776" s="31">
        <v>17.238</v>
      </c>
      <c r="G2776" s="34">
        <f t="shared" si="48"/>
        <v>17.238</v>
      </c>
      <c r="H2776" s="35"/>
      <c r="I2776" s="31"/>
      <c r="J2776" s="155">
        <v>0</v>
      </c>
    </row>
    <row r="2777" spans="1:10" ht="15" hidden="1" thickBot="1" x14ac:dyDescent="0.35">
      <c r="A2777" s="230"/>
      <c r="B2777" s="225"/>
      <c r="C2777" s="36"/>
      <c r="D2777" s="36"/>
      <c r="E2777" s="37"/>
      <c r="F2777" s="31" t="s">
        <v>560</v>
      </c>
      <c r="G2777" s="34" t="str">
        <f t="shared" si="48"/>
        <v/>
      </c>
      <c r="H2777" s="35"/>
      <c r="I2777" s="31"/>
      <c r="J2777" s="155">
        <v>0</v>
      </c>
    </row>
    <row r="2778" spans="1:10" ht="15" hidden="1" thickBot="1" x14ac:dyDescent="0.35">
      <c r="A2778" s="226" t="s">
        <v>847</v>
      </c>
      <c r="B2778" s="223" t="e">
        <f>INDEX(#REF!,MATCH(Composições!A2778,#REF!,0),2)</f>
        <v>#REF!</v>
      </c>
      <c r="C2778" s="41"/>
      <c r="D2778" s="26" t="e">
        <f>TRIM(INDEX(#REF!,MATCH(Composições!A2778,#REF!,0),1))</f>
        <v>#REF!</v>
      </c>
      <c r="E2778" s="27"/>
      <c r="F2778" s="42" t="s">
        <v>560</v>
      </c>
      <c r="G2778" s="28" t="str">
        <f t="shared" si="48"/>
        <v/>
      </c>
      <c r="H2778" s="29"/>
      <c r="I2778" s="30"/>
      <c r="J2778" s="155">
        <v>0</v>
      </c>
    </row>
    <row r="2779" spans="1:10" ht="15" hidden="1" thickBot="1" x14ac:dyDescent="0.35">
      <c r="A2779" s="229"/>
      <c r="B2779" s="224"/>
      <c r="C2779" s="32"/>
      <c r="D2779" s="32"/>
      <c r="E2779" s="33"/>
      <c r="F2779" s="43" t="s">
        <v>560</v>
      </c>
      <c r="G2779" s="34" t="str">
        <f t="shared" si="48"/>
        <v/>
      </c>
      <c r="H2779" s="35"/>
      <c r="I2779" s="31"/>
      <c r="J2779" s="155">
        <v>0</v>
      </c>
    </row>
    <row r="2780" spans="1:10" ht="15" hidden="1" thickBot="1" x14ac:dyDescent="0.35">
      <c r="A2780" s="229"/>
      <c r="B2780" s="224"/>
      <c r="C2780" s="36" t="s">
        <v>68</v>
      </c>
      <c r="D2780" s="36" t="s">
        <v>12</v>
      </c>
      <c r="E2780" s="37">
        <v>0.15</v>
      </c>
      <c r="F2780" s="34">
        <v>18.861499999999999</v>
      </c>
      <c r="G2780" s="34">
        <f t="shared" si="48"/>
        <v>2.8292249999999997</v>
      </c>
      <c r="H2780" s="39">
        <f>SUM(G2780:G2781)</f>
        <v>38.087224999999997</v>
      </c>
      <c r="I2780" s="40"/>
      <c r="J2780" s="155">
        <v>0</v>
      </c>
    </row>
    <row r="2781" spans="1:10" ht="27" hidden="1" thickBot="1" x14ac:dyDescent="0.35">
      <c r="A2781" s="229"/>
      <c r="B2781" s="224"/>
      <c r="C2781" s="36" t="s">
        <v>848</v>
      </c>
      <c r="D2781" s="36" t="s">
        <v>20</v>
      </c>
      <c r="E2781" s="37">
        <v>1</v>
      </c>
      <c r="F2781" s="31">
        <v>35.257999999999996</v>
      </c>
      <c r="G2781" s="34">
        <f t="shared" si="48"/>
        <v>35.257999999999996</v>
      </c>
      <c r="H2781" s="35"/>
      <c r="I2781" s="31"/>
      <c r="J2781" s="155">
        <v>0</v>
      </c>
    </row>
    <row r="2782" spans="1:10" ht="15" hidden="1" thickBot="1" x14ac:dyDescent="0.35">
      <c r="A2782" s="230"/>
      <c r="B2782" s="225"/>
      <c r="C2782" s="36"/>
      <c r="D2782" s="36"/>
      <c r="E2782" s="37"/>
      <c r="F2782" s="31" t="s">
        <v>560</v>
      </c>
      <c r="G2782" s="34" t="str">
        <f t="shared" si="48"/>
        <v/>
      </c>
      <c r="H2782" s="35"/>
      <c r="I2782" s="31"/>
      <c r="J2782" s="155">
        <v>0</v>
      </c>
    </row>
    <row r="2783" spans="1:10" ht="15" hidden="1" thickBot="1" x14ac:dyDescent="0.35">
      <c r="A2783" s="226" t="s">
        <v>849</v>
      </c>
      <c r="B2783" s="223" t="e">
        <f>INDEX(#REF!,MATCH(Composições!A2783,#REF!,0),2)</f>
        <v>#REF!</v>
      </c>
      <c r="C2783" s="41"/>
      <c r="D2783" s="26" t="e">
        <f>TRIM(INDEX(#REF!,MATCH(Composições!A2783,#REF!,0),1))</f>
        <v>#REF!</v>
      </c>
      <c r="E2783" s="27"/>
      <c r="F2783" s="42" t="s">
        <v>560</v>
      </c>
      <c r="G2783" s="28" t="str">
        <f t="shared" si="48"/>
        <v/>
      </c>
      <c r="H2783" s="29"/>
      <c r="I2783" s="30"/>
      <c r="J2783" s="155">
        <v>0</v>
      </c>
    </row>
    <row r="2784" spans="1:10" ht="15" hidden="1" thickBot="1" x14ac:dyDescent="0.35">
      <c r="A2784" s="229"/>
      <c r="B2784" s="224"/>
      <c r="C2784" s="32"/>
      <c r="D2784" s="32"/>
      <c r="E2784" s="33"/>
      <c r="F2784" s="43" t="s">
        <v>560</v>
      </c>
      <c r="G2784" s="34" t="str">
        <f t="shared" si="48"/>
        <v/>
      </c>
      <c r="H2784" s="35"/>
      <c r="I2784" s="31"/>
      <c r="J2784" s="155">
        <v>0</v>
      </c>
    </row>
    <row r="2785" spans="1:10" ht="15" hidden="1" thickBot="1" x14ac:dyDescent="0.35">
      <c r="A2785" s="229"/>
      <c r="B2785" s="224"/>
      <c r="C2785" s="36" t="s">
        <v>68</v>
      </c>
      <c r="D2785" s="36" t="s">
        <v>12</v>
      </c>
      <c r="E2785" s="37">
        <v>0.3</v>
      </c>
      <c r="F2785" s="34">
        <v>18.861499999999999</v>
      </c>
      <c r="G2785" s="34">
        <f t="shared" si="48"/>
        <v>5.6584499999999993</v>
      </c>
      <c r="H2785" s="39">
        <f>SUM(G2785:G2786)</f>
        <v>5.6584499999999993</v>
      </c>
      <c r="I2785" s="40"/>
      <c r="J2785" s="155">
        <v>0</v>
      </c>
    </row>
    <row r="2786" spans="1:10" ht="27" hidden="1" thickBot="1" x14ac:dyDescent="0.35">
      <c r="A2786" s="229"/>
      <c r="B2786" s="224"/>
      <c r="C2786" s="36" t="s">
        <v>850</v>
      </c>
      <c r="D2786" s="36" t="s">
        <v>20</v>
      </c>
      <c r="E2786" s="37">
        <v>1</v>
      </c>
      <c r="F2786" s="31">
        <v>0</v>
      </c>
      <c r="G2786" s="34">
        <f t="shared" si="48"/>
        <v>0</v>
      </c>
      <c r="H2786" s="35"/>
      <c r="I2786" s="31"/>
      <c r="J2786" s="155">
        <v>0</v>
      </c>
    </row>
    <row r="2787" spans="1:10" ht="15" hidden="1" thickBot="1" x14ac:dyDescent="0.35">
      <c r="A2787" s="229"/>
      <c r="B2787" s="224"/>
      <c r="C2787" s="36"/>
      <c r="D2787" s="36"/>
      <c r="E2787" s="37"/>
      <c r="F2787" s="31" t="s">
        <v>560</v>
      </c>
      <c r="G2787" s="34" t="str">
        <f t="shared" si="48"/>
        <v/>
      </c>
      <c r="H2787" s="35"/>
      <c r="I2787" s="31"/>
      <c r="J2787" s="155">
        <v>0</v>
      </c>
    </row>
    <row r="2788" spans="1:10" ht="40.799999999999997" hidden="1" thickBot="1" x14ac:dyDescent="0.35">
      <c r="A2788" s="229"/>
      <c r="B2788" s="224"/>
      <c r="C2788" s="149" t="s">
        <v>851</v>
      </c>
      <c r="D2788" s="36"/>
      <c r="E2788" s="37"/>
      <c r="F2788" s="31" t="s">
        <v>560</v>
      </c>
      <c r="G2788" s="34" t="str">
        <f t="shared" si="48"/>
        <v/>
      </c>
      <c r="H2788" s="35"/>
      <c r="I2788" s="31"/>
      <c r="J2788" s="155">
        <v>0</v>
      </c>
    </row>
    <row r="2789" spans="1:10" ht="15" hidden="1" thickBot="1" x14ac:dyDescent="0.35">
      <c r="A2789" s="230"/>
      <c r="B2789" s="225"/>
      <c r="C2789" s="36"/>
      <c r="D2789" s="36"/>
      <c r="E2789" s="37"/>
      <c r="F2789" s="31" t="s">
        <v>560</v>
      </c>
      <c r="G2789" s="34" t="str">
        <f t="shared" si="48"/>
        <v/>
      </c>
      <c r="H2789" s="35"/>
      <c r="I2789" s="31"/>
      <c r="J2789" s="155">
        <v>0</v>
      </c>
    </row>
    <row r="2790" spans="1:10" ht="15" hidden="1" thickBot="1" x14ac:dyDescent="0.35">
      <c r="A2790" s="226" t="s">
        <v>852</v>
      </c>
      <c r="B2790" s="223" t="e">
        <f>INDEX(#REF!,MATCH(Composições!A2790,#REF!,0),2)</f>
        <v>#REF!</v>
      </c>
      <c r="C2790" s="41"/>
      <c r="D2790" s="26" t="e">
        <f>TRIM(INDEX(#REF!,MATCH(Composições!A2790,#REF!,0),1))</f>
        <v>#REF!</v>
      </c>
      <c r="E2790" s="27"/>
      <c r="F2790" s="42" t="s">
        <v>560</v>
      </c>
      <c r="G2790" s="28" t="str">
        <f t="shared" si="48"/>
        <v/>
      </c>
      <c r="H2790" s="29"/>
      <c r="I2790" s="30"/>
      <c r="J2790" s="155">
        <v>0</v>
      </c>
    </row>
    <row r="2791" spans="1:10" ht="15" hidden="1" thickBot="1" x14ac:dyDescent="0.35">
      <c r="A2791" s="229"/>
      <c r="B2791" s="224"/>
      <c r="C2791" s="32"/>
      <c r="D2791" s="32"/>
      <c r="E2791" s="33"/>
      <c r="F2791" s="43" t="s">
        <v>560</v>
      </c>
      <c r="G2791" s="34" t="str">
        <f t="shared" si="48"/>
        <v/>
      </c>
      <c r="H2791" s="35"/>
      <c r="I2791" s="31"/>
      <c r="J2791" s="155">
        <v>0</v>
      </c>
    </row>
    <row r="2792" spans="1:10" ht="15" hidden="1" thickBot="1" x14ac:dyDescent="0.35">
      <c r="A2792" s="229"/>
      <c r="B2792" s="224"/>
      <c r="C2792" s="36" t="s">
        <v>68</v>
      </c>
      <c r="D2792" s="36" t="s">
        <v>12</v>
      </c>
      <c r="E2792" s="37">
        <v>0.15</v>
      </c>
      <c r="F2792" s="34">
        <v>18.861499999999999</v>
      </c>
      <c r="G2792" s="34">
        <f t="shared" si="48"/>
        <v>2.8292249999999997</v>
      </c>
      <c r="H2792" s="39">
        <f>SUM(G2792:G2793)</f>
        <v>2.8292249999999997</v>
      </c>
      <c r="I2792" s="40"/>
      <c r="J2792" s="155">
        <v>0</v>
      </c>
    </row>
    <row r="2793" spans="1:10" ht="15" hidden="1" thickBot="1" x14ac:dyDescent="0.35">
      <c r="A2793" s="229"/>
      <c r="B2793" s="224"/>
      <c r="C2793" s="36" t="s">
        <v>853</v>
      </c>
      <c r="D2793" s="36" t="s">
        <v>20</v>
      </c>
      <c r="E2793" s="37">
        <v>1</v>
      </c>
      <c r="F2793" s="31">
        <v>0</v>
      </c>
      <c r="G2793" s="34">
        <f t="shared" si="48"/>
        <v>0</v>
      </c>
      <c r="H2793" s="35"/>
      <c r="I2793" s="31"/>
      <c r="J2793" s="155">
        <v>0</v>
      </c>
    </row>
    <row r="2794" spans="1:10" ht="15" hidden="1" thickBot="1" x14ac:dyDescent="0.35">
      <c r="A2794" s="230"/>
      <c r="B2794" s="225"/>
      <c r="C2794" s="36"/>
      <c r="D2794" s="36"/>
      <c r="E2794" s="37"/>
      <c r="F2794" s="31" t="s">
        <v>560</v>
      </c>
      <c r="G2794" s="34" t="str">
        <f t="shared" si="48"/>
        <v/>
      </c>
      <c r="H2794" s="35"/>
      <c r="I2794" s="31"/>
      <c r="J2794" s="155">
        <v>0</v>
      </c>
    </row>
    <row r="2795" spans="1:10" ht="15" hidden="1" thickBot="1" x14ac:dyDescent="0.35">
      <c r="A2795" s="226" t="s">
        <v>854</v>
      </c>
      <c r="B2795" s="223" t="e">
        <f>INDEX(#REF!,MATCH(Composições!A2795,#REF!,0),2)</f>
        <v>#REF!</v>
      </c>
      <c r="C2795" s="41"/>
      <c r="D2795" s="26" t="e">
        <f>TRIM(INDEX(#REF!,MATCH(Composições!A2795,#REF!,0),1))</f>
        <v>#REF!</v>
      </c>
      <c r="E2795" s="27"/>
      <c r="F2795" s="42" t="s">
        <v>560</v>
      </c>
      <c r="G2795" s="28" t="str">
        <f t="shared" si="48"/>
        <v/>
      </c>
      <c r="H2795" s="29"/>
      <c r="I2795" s="30"/>
      <c r="J2795" s="155">
        <v>0</v>
      </c>
    </row>
    <row r="2796" spans="1:10" ht="15" hidden="1" thickBot="1" x14ac:dyDescent="0.35">
      <c r="A2796" s="229"/>
      <c r="B2796" s="224"/>
      <c r="C2796" s="32"/>
      <c r="D2796" s="32"/>
      <c r="E2796" s="33"/>
      <c r="F2796" s="43" t="s">
        <v>560</v>
      </c>
      <c r="G2796" s="34" t="str">
        <f t="shared" si="48"/>
        <v/>
      </c>
      <c r="H2796" s="35"/>
      <c r="I2796" s="31"/>
      <c r="J2796" s="155">
        <v>0</v>
      </c>
    </row>
    <row r="2797" spans="1:10" ht="15" hidden="1" thickBot="1" x14ac:dyDescent="0.35">
      <c r="A2797" s="229"/>
      <c r="B2797" s="224"/>
      <c r="C2797" s="36" t="s">
        <v>68</v>
      </c>
      <c r="D2797" s="36" t="s">
        <v>12</v>
      </c>
      <c r="E2797" s="37">
        <v>0.4</v>
      </c>
      <c r="F2797" s="34">
        <v>18.861499999999999</v>
      </c>
      <c r="G2797" s="34">
        <f t="shared" si="48"/>
        <v>7.5446</v>
      </c>
      <c r="H2797" s="39">
        <f>SUM(G2797:G2798)</f>
        <v>7.5446</v>
      </c>
      <c r="I2797" s="40"/>
      <c r="J2797" s="155">
        <v>0</v>
      </c>
    </row>
    <row r="2798" spans="1:10" ht="27" hidden="1" thickBot="1" x14ac:dyDescent="0.35">
      <c r="A2798" s="229"/>
      <c r="B2798" s="224"/>
      <c r="C2798" s="36" t="s">
        <v>855</v>
      </c>
      <c r="D2798" s="36" t="s">
        <v>20</v>
      </c>
      <c r="E2798" s="37">
        <v>1</v>
      </c>
      <c r="F2798" s="31" t="s">
        <v>560</v>
      </c>
      <c r="G2798" s="34" t="str">
        <f t="shared" si="48"/>
        <v/>
      </c>
      <c r="H2798" s="35"/>
      <c r="I2798" s="31"/>
      <c r="J2798" s="155">
        <v>0</v>
      </c>
    </row>
    <row r="2799" spans="1:10" ht="15" hidden="1" thickBot="1" x14ac:dyDescent="0.35">
      <c r="A2799" s="230"/>
      <c r="B2799" s="225"/>
      <c r="C2799" s="36"/>
      <c r="D2799" s="36"/>
      <c r="E2799" s="37"/>
      <c r="F2799" s="31" t="s">
        <v>560</v>
      </c>
      <c r="G2799" s="34" t="str">
        <f t="shared" si="48"/>
        <v/>
      </c>
      <c r="H2799" s="35"/>
      <c r="I2799" s="31"/>
      <c r="J2799" s="155">
        <v>0</v>
      </c>
    </row>
    <row r="2800" spans="1:10" ht="15" hidden="1" thickBot="1" x14ac:dyDescent="0.35">
      <c r="A2800" s="226" t="s">
        <v>856</v>
      </c>
      <c r="B2800" s="223" t="e">
        <f>INDEX(#REF!,MATCH(Composições!A2800,#REF!,0),2)</f>
        <v>#REF!</v>
      </c>
      <c r="C2800" s="41"/>
      <c r="D2800" s="26" t="e">
        <f>TRIM(INDEX(#REF!,MATCH(Composições!A2800,#REF!,0),1))</f>
        <v>#REF!</v>
      </c>
      <c r="E2800" s="27"/>
      <c r="F2800" s="42" t="s">
        <v>560</v>
      </c>
      <c r="G2800" s="28" t="str">
        <f t="shared" si="48"/>
        <v/>
      </c>
      <c r="H2800" s="29"/>
      <c r="I2800" s="30"/>
      <c r="J2800" s="155">
        <v>0</v>
      </c>
    </row>
    <row r="2801" spans="1:10" ht="15" hidden="1" thickBot="1" x14ac:dyDescent="0.35">
      <c r="A2801" s="229"/>
      <c r="B2801" s="224"/>
      <c r="C2801" s="32"/>
      <c r="D2801" s="32"/>
      <c r="E2801" s="33"/>
      <c r="F2801" s="43" t="s">
        <v>560</v>
      </c>
      <c r="G2801" s="34" t="str">
        <f t="shared" si="48"/>
        <v/>
      </c>
      <c r="H2801" s="35"/>
      <c r="I2801" s="31"/>
      <c r="J2801" s="155">
        <v>0</v>
      </c>
    </row>
    <row r="2802" spans="1:10" ht="15" hidden="1" thickBot="1" x14ac:dyDescent="0.35">
      <c r="A2802" s="229"/>
      <c r="B2802" s="224"/>
      <c r="C2802" s="36" t="s">
        <v>68</v>
      </c>
      <c r="D2802" s="36" t="s">
        <v>12</v>
      </c>
      <c r="E2802" s="37">
        <v>0.4</v>
      </c>
      <c r="F2802" s="34">
        <v>18.861499999999999</v>
      </c>
      <c r="G2802" s="34">
        <f t="shared" si="48"/>
        <v>7.5446</v>
      </c>
      <c r="H2802" s="39">
        <f>SUM(G2802:G2803)</f>
        <v>7.5446</v>
      </c>
      <c r="I2802" s="40"/>
      <c r="J2802" s="155">
        <v>0</v>
      </c>
    </row>
    <row r="2803" spans="1:10" ht="27" hidden="1" thickBot="1" x14ac:dyDescent="0.35">
      <c r="A2803" s="229"/>
      <c r="B2803" s="224"/>
      <c r="C2803" s="36" t="s">
        <v>857</v>
      </c>
      <c r="D2803" s="36" t="s">
        <v>20</v>
      </c>
      <c r="E2803" s="37">
        <v>1</v>
      </c>
      <c r="F2803" s="31" t="s">
        <v>560</v>
      </c>
      <c r="G2803" s="34" t="str">
        <f t="shared" si="48"/>
        <v/>
      </c>
      <c r="H2803" s="35"/>
      <c r="I2803" s="31"/>
      <c r="J2803" s="155">
        <v>0</v>
      </c>
    </row>
    <row r="2804" spans="1:10" ht="15" hidden="1" thickBot="1" x14ac:dyDescent="0.35">
      <c r="A2804" s="230"/>
      <c r="B2804" s="225"/>
      <c r="C2804" s="36"/>
      <c r="D2804" s="36"/>
      <c r="E2804" s="37"/>
      <c r="F2804" s="31" t="s">
        <v>560</v>
      </c>
      <c r="G2804" s="34" t="str">
        <f t="shared" si="48"/>
        <v/>
      </c>
      <c r="H2804" s="35"/>
      <c r="I2804" s="31"/>
      <c r="J2804" s="155">
        <v>0</v>
      </c>
    </row>
    <row r="2805" spans="1:10" ht="15" hidden="1" thickBot="1" x14ac:dyDescent="0.35">
      <c r="A2805" s="226" t="s">
        <v>858</v>
      </c>
      <c r="B2805" s="223" t="e">
        <f>INDEX(#REF!,MATCH(Composições!A2805,#REF!,0),2)</f>
        <v>#REF!</v>
      </c>
      <c r="C2805" s="41"/>
      <c r="D2805" s="26" t="e">
        <f>TRIM(INDEX(#REF!,MATCH(Composições!A2805,#REF!,0),1))</f>
        <v>#REF!</v>
      </c>
      <c r="E2805" s="27"/>
      <c r="F2805" s="42" t="s">
        <v>560</v>
      </c>
      <c r="G2805" s="28" t="str">
        <f t="shared" si="48"/>
        <v/>
      </c>
      <c r="H2805" s="29"/>
      <c r="I2805" s="30"/>
      <c r="J2805" s="155">
        <v>0</v>
      </c>
    </row>
    <row r="2806" spans="1:10" ht="15" hidden="1" thickBot="1" x14ac:dyDescent="0.35">
      <c r="A2806" s="229"/>
      <c r="B2806" s="224"/>
      <c r="C2806" s="32"/>
      <c r="D2806" s="32"/>
      <c r="E2806" s="33"/>
      <c r="F2806" s="43" t="s">
        <v>560</v>
      </c>
      <c r="G2806" s="34" t="str">
        <f t="shared" si="48"/>
        <v/>
      </c>
      <c r="H2806" s="35"/>
      <c r="I2806" s="31"/>
      <c r="J2806" s="155">
        <v>0</v>
      </c>
    </row>
    <row r="2807" spans="1:10" ht="15" hidden="1" thickBot="1" x14ac:dyDescent="0.35">
      <c r="A2807" s="229"/>
      <c r="B2807" s="224"/>
      <c r="C2807" s="36" t="s">
        <v>68</v>
      </c>
      <c r="D2807" s="36" t="s">
        <v>12</v>
      </c>
      <c r="E2807" s="37">
        <v>0.4</v>
      </c>
      <c r="F2807" s="34">
        <v>18.861499999999999</v>
      </c>
      <c r="G2807" s="34">
        <f t="shared" si="48"/>
        <v>7.5446</v>
      </c>
      <c r="H2807" s="39">
        <f>SUM(G2807:G2808)</f>
        <v>7.5446</v>
      </c>
      <c r="I2807" s="40"/>
      <c r="J2807" s="155">
        <v>0</v>
      </c>
    </row>
    <row r="2808" spans="1:10" ht="27" hidden="1" thickBot="1" x14ac:dyDescent="0.35">
      <c r="A2808" s="229"/>
      <c r="B2808" s="224"/>
      <c r="C2808" s="36" t="s">
        <v>859</v>
      </c>
      <c r="D2808" s="36" t="s">
        <v>20</v>
      </c>
      <c r="E2808" s="37">
        <v>1</v>
      </c>
      <c r="F2808" s="31" t="s">
        <v>560</v>
      </c>
      <c r="G2808" s="34" t="str">
        <f t="shared" si="48"/>
        <v/>
      </c>
      <c r="H2808" s="35"/>
      <c r="I2808" s="31"/>
      <c r="J2808" s="155">
        <v>0</v>
      </c>
    </row>
    <row r="2809" spans="1:10" ht="15" hidden="1" thickBot="1" x14ac:dyDescent="0.35">
      <c r="A2809" s="230"/>
      <c r="B2809" s="225"/>
      <c r="C2809" s="36"/>
      <c r="D2809" s="36"/>
      <c r="E2809" s="37"/>
      <c r="F2809" s="31" t="s">
        <v>560</v>
      </c>
      <c r="G2809" s="34" t="str">
        <f t="shared" si="48"/>
        <v/>
      </c>
      <c r="H2809" s="35"/>
      <c r="I2809" s="31"/>
      <c r="J2809" s="155">
        <v>0</v>
      </c>
    </row>
    <row r="2810" spans="1:10" ht="15" hidden="1" thickBot="1" x14ac:dyDescent="0.35">
      <c r="A2810" s="226" t="s">
        <v>860</v>
      </c>
      <c r="B2810" s="223" t="e">
        <f>INDEX(#REF!,MATCH(Composições!A2810,#REF!,0),2)</f>
        <v>#REF!</v>
      </c>
      <c r="C2810" s="41"/>
      <c r="D2810" s="26" t="e">
        <f>TRIM(INDEX(#REF!,MATCH(Composições!A2810,#REF!,0),1))</f>
        <v>#REF!</v>
      </c>
      <c r="E2810" s="27"/>
      <c r="F2810" s="42" t="s">
        <v>560</v>
      </c>
      <c r="G2810" s="28" t="str">
        <f t="shared" si="48"/>
        <v/>
      </c>
      <c r="H2810" s="29"/>
      <c r="I2810" s="30"/>
      <c r="J2810" s="155">
        <v>0</v>
      </c>
    </row>
    <row r="2811" spans="1:10" ht="15" hidden="1" thickBot="1" x14ac:dyDescent="0.35">
      <c r="A2811" s="229"/>
      <c r="B2811" s="224"/>
      <c r="C2811" s="32"/>
      <c r="D2811" s="32"/>
      <c r="E2811" s="33"/>
      <c r="F2811" s="43" t="s">
        <v>560</v>
      </c>
      <c r="G2811" s="34" t="str">
        <f t="shared" si="48"/>
        <v/>
      </c>
      <c r="H2811" s="35"/>
      <c r="I2811" s="31"/>
      <c r="J2811" s="155">
        <v>0</v>
      </c>
    </row>
    <row r="2812" spans="1:10" ht="15" hidden="1" thickBot="1" x14ac:dyDescent="0.35">
      <c r="A2812" s="229"/>
      <c r="B2812" s="224"/>
      <c r="C2812" s="36" t="s">
        <v>68</v>
      </c>
      <c r="D2812" s="36" t="s">
        <v>12</v>
      </c>
      <c r="E2812" s="37">
        <v>0.25</v>
      </c>
      <c r="F2812" s="34">
        <v>18.861499999999999</v>
      </c>
      <c r="G2812" s="34">
        <f t="shared" si="48"/>
        <v>4.7153749999999999</v>
      </c>
      <c r="H2812" s="39">
        <f>SUM(G2812:G2813)</f>
        <v>4.7153749999999999</v>
      </c>
      <c r="I2812" s="40"/>
      <c r="J2812" s="155">
        <v>0</v>
      </c>
    </row>
    <row r="2813" spans="1:10" ht="40.200000000000003" hidden="1" thickBot="1" x14ac:dyDescent="0.35">
      <c r="A2813" s="229"/>
      <c r="B2813" s="224"/>
      <c r="C2813" s="36" t="s">
        <v>861</v>
      </c>
      <c r="D2813" s="36" t="s">
        <v>20</v>
      </c>
      <c r="E2813" s="37">
        <v>1</v>
      </c>
      <c r="F2813" s="31" t="s">
        <v>560</v>
      </c>
      <c r="G2813" s="34" t="str">
        <f t="shared" si="48"/>
        <v/>
      </c>
      <c r="H2813" s="35"/>
      <c r="I2813" s="31"/>
      <c r="J2813" s="155">
        <v>0</v>
      </c>
    </row>
    <row r="2814" spans="1:10" ht="15" hidden="1" thickBot="1" x14ac:dyDescent="0.35">
      <c r="A2814" s="230"/>
      <c r="B2814" s="225"/>
      <c r="C2814" s="36"/>
      <c r="D2814" s="36"/>
      <c r="E2814" s="37"/>
      <c r="F2814" s="31" t="s">
        <v>560</v>
      </c>
      <c r="G2814" s="34" t="str">
        <f t="shared" si="48"/>
        <v/>
      </c>
      <c r="H2814" s="35"/>
      <c r="I2814" s="31"/>
      <c r="J2814" s="155">
        <v>0</v>
      </c>
    </row>
    <row r="2815" spans="1:10" ht="15" hidden="1" thickBot="1" x14ac:dyDescent="0.35">
      <c r="A2815" s="226" t="s">
        <v>862</v>
      </c>
      <c r="B2815" s="223" t="e">
        <f>INDEX(#REF!,MATCH(Composições!A2815,#REF!,0),2)</f>
        <v>#REF!</v>
      </c>
      <c r="C2815" s="41"/>
      <c r="D2815" s="26" t="e">
        <f>TRIM(INDEX(#REF!,MATCH(Composições!A2815,#REF!,0),1))</f>
        <v>#REF!</v>
      </c>
      <c r="E2815" s="27"/>
      <c r="F2815" s="42" t="s">
        <v>560</v>
      </c>
      <c r="G2815" s="28" t="str">
        <f t="shared" si="48"/>
        <v/>
      </c>
      <c r="H2815" s="29"/>
      <c r="I2815" s="30"/>
      <c r="J2815" s="155">
        <v>0</v>
      </c>
    </row>
    <row r="2816" spans="1:10" ht="15" hidden="1" thickBot="1" x14ac:dyDescent="0.35">
      <c r="A2816" s="229"/>
      <c r="B2816" s="224"/>
      <c r="C2816" s="32"/>
      <c r="D2816" s="32"/>
      <c r="E2816" s="33"/>
      <c r="F2816" s="43" t="s">
        <v>560</v>
      </c>
      <c r="G2816" s="34" t="str">
        <f t="shared" si="48"/>
        <v/>
      </c>
      <c r="H2816" s="35"/>
      <c r="I2816" s="31"/>
      <c r="J2816" s="155">
        <v>0</v>
      </c>
    </row>
    <row r="2817" spans="1:10" ht="15" hidden="1" thickBot="1" x14ac:dyDescent="0.35">
      <c r="A2817" s="229"/>
      <c r="B2817" s="224"/>
      <c r="C2817" s="36" t="s">
        <v>68</v>
      </c>
      <c r="D2817" s="36" t="s">
        <v>12</v>
      </c>
      <c r="E2817" s="37">
        <v>0.25</v>
      </c>
      <c r="F2817" s="34">
        <v>18.861499999999999</v>
      </c>
      <c r="G2817" s="34">
        <f t="shared" ref="G2817:G2880" si="49">IF(ISNUMBER(F2817),E2817*F2817,"")</f>
        <v>4.7153749999999999</v>
      </c>
      <c r="H2817" s="39">
        <f>SUM(G2817:G2818)</f>
        <v>4.7153749999999999</v>
      </c>
      <c r="I2817" s="40"/>
      <c r="J2817" s="155">
        <v>0</v>
      </c>
    </row>
    <row r="2818" spans="1:10" ht="40.200000000000003" hidden="1" thickBot="1" x14ac:dyDescent="0.35">
      <c r="A2818" s="229"/>
      <c r="B2818" s="224"/>
      <c r="C2818" s="36" t="s">
        <v>863</v>
      </c>
      <c r="D2818" s="36" t="s">
        <v>20</v>
      </c>
      <c r="E2818" s="37">
        <v>1</v>
      </c>
      <c r="F2818" s="31" t="s">
        <v>560</v>
      </c>
      <c r="G2818" s="34" t="str">
        <f t="shared" si="49"/>
        <v/>
      </c>
      <c r="H2818" s="35"/>
      <c r="I2818" s="31"/>
      <c r="J2818" s="155">
        <v>0</v>
      </c>
    </row>
    <row r="2819" spans="1:10" ht="15" hidden="1" thickBot="1" x14ac:dyDescent="0.35">
      <c r="A2819" s="230"/>
      <c r="B2819" s="225"/>
      <c r="C2819" s="36"/>
      <c r="D2819" s="36"/>
      <c r="E2819" s="37"/>
      <c r="F2819" s="31" t="s">
        <v>560</v>
      </c>
      <c r="G2819" s="34" t="str">
        <f t="shared" si="49"/>
        <v/>
      </c>
      <c r="H2819" s="35"/>
      <c r="I2819" s="31"/>
      <c r="J2819" s="155">
        <v>0</v>
      </c>
    </row>
    <row r="2820" spans="1:10" ht="15" hidden="1" thickBot="1" x14ac:dyDescent="0.35">
      <c r="A2820" s="226" t="s">
        <v>864</v>
      </c>
      <c r="B2820" s="223" t="e">
        <f>INDEX(#REF!,MATCH(Composições!A2820,#REF!,0),2)</f>
        <v>#REF!</v>
      </c>
      <c r="C2820" s="41"/>
      <c r="D2820" s="26" t="e">
        <f>TRIM(INDEX(#REF!,MATCH(Composições!A2820,#REF!,0),1))</f>
        <v>#REF!</v>
      </c>
      <c r="E2820" s="27"/>
      <c r="F2820" s="42" t="s">
        <v>560</v>
      </c>
      <c r="G2820" s="28" t="str">
        <f t="shared" si="49"/>
        <v/>
      </c>
      <c r="H2820" s="29"/>
      <c r="I2820" s="30"/>
      <c r="J2820" s="155">
        <v>0</v>
      </c>
    </row>
    <row r="2821" spans="1:10" ht="15" hidden="1" thickBot="1" x14ac:dyDescent="0.35">
      <c r="A2821" s="229"/>
      <c r="B2821" s="224"/>
      <c r="C2821" s="32"/>
      <c r="D2821" s="32"/>
      <c r="E2821" s="33"/>
      <c r="F2821" s="43" t="s">
        <v>560</v>
      </c>
      <c r="G2821" s="34" t="str">
        <f t="shared" si="49"/>
        <v/>
      </c>
      <c r="H2821" s="35"/>
      <c r="I2821" s="31"/>
      <c r="J2821" s="155">
        <v>0</v>
      </c>
    </row>
    <row r="2822" spans="1:10" ht="15" hidden="1" thickBot="1" x14ac:dyDescent="0.35">
      <c r="A2822" s="229"/>
      <c r="B2822" s="224"/>
      <c r="C2822" s="36" t="s">
        <v>68</v>
      </c>
      <c r="D2822" s="36" t="s">
        <v>12</v>
      </c>
      <c r="E2822" s="37">
        <v>0.25</v>
      </c>
      <c r="F2822" s="34">
        <v>18.861499999999999</v>
      </c>
      <c r="G2822" s="34">
        <f t="shared" si="49"/>
        <v>4.7153749999999999</v>
      </c>
      <c r="H2822" s="39">
        <f>SUM(G2822:G2823)</f>
        <v>4.7153749999999999</v>
      </c>
      <c r="I2822" s="40"/>
      <c r="J2822" s="155">
        <v>0</v>
      </c>
    </row>
    <row r="2823" spans="1:10" ht="40.200000000000003" hidden="1" thickBot="1" x14ac:dyDescent="0.35">
      <c r="A2823" s="229"/>
      <c r="B2823" s="224"/>
      <c r="C2823" s="36" t="s">
        <v>865</v>
      </c>
      <c r="D2823" s="36" t="s">
        <v>20</v>
      </c>
      <c r="E2823" s="37">
        <v>1</v>
      </c>
      <c r="F2823" s="31" t="s">
        <v>560</v>
      </c>
      <c r="G2823" s="34" t="str">
        <f t="shared" si="49"/>
        <v/>
      </c>
      <c r="H2823" s="35"/>
      <c r="I2823" s="31"/>
      <c r="J2823" s="155">
        <v>0</v>
      </c>
    </row>
    <row r="2824" spans="1:10" ht="15" hidden="1" thickBot="1" x14ac:dyDescent="0.35">
      <c r="A2824" s="230"/>
      <c r="B2824" s="225"/>
      <c r="C2824" s="36"/>
      <c r="D2824" s="36"/>
      <c r="E2824" s="37"/>
      <c r="F2824" s="31" t="s">
        <v>560</v>
      </c>
      <c r="G2824" s="34" t="str">
        <f t="shared" si="49"/>
        <v/>
      </c>
      <c r="H2824" s="35"/>
      <c r="I2824" s="31"/>
      <c r="J2824" s="155">
        <v>0</v>
      </c>
    </row>
    <row r="2825" spans="1:10" ht="15" hidden="1" thickBot="1" x14ac:dyDescent="0.35">
      <c r="A2825" s="226" t="s">
        <v>866</v>
      </c>
      <c r="B2825" s="223" t="e">
        <f>INDEX(#REF!,MATCH(Composições!A2825,#REF!,0),2)</f>
        <v>#REF!</v>
      </c>
      <c r="C2825" s="41"/>
      <c r="D2825" s="26" t="e">
        <f>TRIM(INDEX(#REF!,MATCH(Composições!A2825,#REF!,0),1))</f>
        <v>#REF!</v>
      </c>
      <c r="E2825" s="27"/>
      <c r="F2825" s="42" t="s">
        <v>560</v>
      </c>
      <c r="G2825" s="28" t="str">
        <f t="shared" si="49"/>
        <v/>
      </c>
      <c r="H2825" s="29"/>
      <c r="I2825" s="30"/>
      <c r="J2825" s="155">
        <v>0</v>
      </c>
    </row>
    <row r="2826" spans="1:10" ht="15" hidden="1" thickBot="1" x14ac:dyDescent="0.35">
      <c r="A2826" s="229"/>
      <c r="B2826" s="224"/>
      <c r="C2826" s="32"/>
      <c r="D2826" s="32"/>
      <c r="E2826" s="33"/>
      <c r="F2826" s="43" t="s">
        <v>560</v>
      </c>
      <c r="G2826" s="34" t="str">
        <f t="shared" si="49"/>
        <v/>
      </c>
      <c r="H2826" s="35"/>
      <c r="I2826" s="31"/>
      <c r="J2826" s="155">
        <v>0</v>
      </c>
    </row>
    <row r="2827" spans="1:10" ht="15" hidden="1" thickBot="1" x14ac:dyDescent="0.35">
      <c r="A2827" s="229"/>
      <c r="B2827" s="224"/>
      <c r="C2827" s="36" t="s">
        <v>68</v>
      </c>
      <c r="D2827" s="36" t="s">
        <v>12</v>
      </c>
      <c r="E2827" s="37">
        <v>0.25</v>
      </c>
      <c r="F2827" s="34">
        <v>18.861499999999999</v>
      </c>
      <c r="G2827" s="34">
        <f t="shared" si="49"/>
        <v>4.7153749999999999</v>
      </c>
      <c r="H2827" s="39">
        <f>SUM(G2827:G2828)</f>
        <v>4.7153749999999999</v>
      </c>
      <c r="I2827" s="40"/>
      <c r="J2827" s="155">
        <v>0</v>
      </c>
    </row>
    <row r="2828" spans="1:10" ht="27" hidden="1" thickBot="1" x14ac:dyDescent="0.35">
      <c r="A2828" s="229"/>
      <c r="B2828" s="224"/>
      <c r="C2828" s="36" t="s">
        <v>867</v>
      </c>
      <c r="D2828" s="36" t="s">
        <v>20</v>
      </c>
      <c r="E2828" s="37">
        <v>1</v>
      </c>
      <c r="F2828" s="31">
        <v>0</v>
      </c>
      <c r="G2828" s="34">
        <f t="shared" si="49"/>
        <v>0</v>
      </c>
      <c r="H2828" s="35"/>
      <c r="I2828" s="31"/>
      <c r="J2828" s="155">
        <v>0</v>
      </c>
    </row>
    <row r="2829" spans="1:10" ht="15" hidden="1" thickBot="1" x14ac:dyDescent="0.35">
      <c r="A2829" s="230"/>
      <c r="B2829" s="225"/>
      <c r="C2829" s="36"/>
      <c r="D2829" s="36"/>
      <c r="E2829" s="37"/>
      <c r="F2829" s="31" t="s">
        <v>560</v>
      </c>
      <c r="G2829" s="34" t="str">
        <f t="shared" si="49"/>
        <v/>
      </c>
      <c r="H2829" s="35"/>
      <c r="I2829" s="31"/>
      <c r="J2829" s="155">
        <v>0</v>
      </c>
    </row>
    <row r="2830" spans="1:10" ht="15" hidden="1" thickBot="1" x14ac:dyDescent="0.35">
      <c r="A2830" s="226" t="s">
        <v>868</v>
      </c>
      <c r="B2830" s="223" t="e">
        <f>INDEX(#REF!,MATCH(Composições!A2830,#REF!,0),2)</f>
        <v>#REF!</v>
      </c>
      <c r="C2830" s="41"/>
      <c r="D2830" s="26" t="e">
        <f>TRIM(INDEX(#REF!,MATCH(Composições!A2830,#REF!,0),1))</f>
        <v>#REF!</v>
      </c>
      <c r="E2830" s="27"/>
      <c r="F2830" s="42" t="s">
        <v>560</v>
      </c>
      <c r="G2830" s="28" t="str">
        <f t="shared" si="49"/>
        <v/>
      </c>
      <c r="H2830" s="29"/>
      <c r="I2830" s="30"/>
      <c r="J2830" s="155">
        <v>0</v>
      </c>
    </row>
    <row r="2831" spans="1:10" ht="15" hidden="1" thickBot="1" x14ac:dyDescent="0.35">
      <c r="A2831" s="229"/>
      <c r="B2831" s="224"/>
      <c r="C2831" s="32"/>
      <c r="D2831" s="32"/>
      <c r="E2831" s="33"/>
      <c r="F2831" s="43" t="s">
        <v>560</v>
      </c>
      <c r="G2831" s="34" t="str">
        <f t="shared" si="49"/>
        <v/>
      </c>
      <c r="H2831" s="35"/>
      <c r="I2831" s="31"/>
      <c r="J2831" s="155">
        <v>0</v>
      </c>
    </row>
    <row r="2832" spans="1:10" ht="15" hidden="1" thickBot="1" x14ac:dyDescent="0.35">
      <c r="A2832" s="229"/>
      <c r="B2832" s="224"/>
      <c r="C2832" s="36" t="s">
        <v>68</v>
      </c>
      <c r="D2832" s="36" t="s">
        <v>12</v>
      </c>
      <c r="E2832" s="37">
        <v>1.8180000000000001</v>
      </c>
      <c r="F2832" s="34">
        <v>18.861499999999999</v>
      </c>
      <c r="G2832" s="34">
        <f t="shared" si="49"/>
        <v>34.290207000000002</v>
      </c>
      <c r="H2832" s="39">
        <f>SUM(G2832:G2835)</f>
        <v>60.739546500000003</v>
      </c>
      <c r="I2832" s="40"/>
      <c r="J2832" s="155">
        <v>0</v>
      </c>
    </row>
    <row r="2833" spans="1:10" ht="15" hidden="1" thickBot="1" x14ac:dyDescent="0.35">
      <c r="A2833" s="229"/>
      <c r="B2833" s="224"/>
      <c r="C2833" s="36" t="s">
        <v>23</v>
      </c>
      <c r="D2833" s="36" t="s">
        <v>12</v>
      </c>
      <c r="E2833" s="37">
        <v>1.7669999999999999</v>
      </c>
      <c r="F2833" s="31">
        <v>14.968499999999999</v>
      </c>
      <c r="G2833" s="34">
        <f t="shared" si="49"/>
        <v>26.449339499999997</v>
      </c>
      <c r="H2833" s="35"/>
      <c r="I2833" s="31"/>
      <c r="J2833" s="155">
        <v>0</v>
      </c>
    </row>
    <row r="2834" spans="1:10" ht="15" hidden="1" thickBot="1" x14ac:dyDescent="0.35">
      <c r="A2834" s="229"/>
      <c r="B2834" s="224"/>
      <c r="C2834" s="36" t="s">
        <v>316</v>
      </c>
      <c r="D2834" s="36" t="s">
        <v>20</v>
      </c>
      <c r="E2834" s="37">
        <v>1</v>
      </c>
      <c r="F2834" s="31" t="s">
        <v>560</v>
      </c>
      <c r="G2834" s="31" t="str">
        <f t="shared" si="49"/>
        <v/>
      </c>
      <c r="H2834" s="35"/>
      <c r="I2834" s="31"/>
      <c r="J2834" s="155">
        <v>0</v>
      </c>
    </row>
    <row r="2835" spans="1:10" ht="40.200000000000003" hidden="1" thickBot="1" x14ac:dyDescent="0.35">
      <c r="A2835" s="229"/>
      <c r="B2835" s="224"/>
      <c r="C2835" s="36" t="s">
        <v>315</v>
      </c>
      <c r="D2835" s="36" t="s">
        <v>20</v>
      </c>
      <c r="E2835" s="37">
        <v>1</v>
      </c>
      <c r="F2835" s="31" t="s">
        <v>560</v>
      </c>
      <c r="G2835" s="34" t="str">
        <f t="shared" si="49"/>
        <v/>
      </c>
      <c r="H2835" s="35"/>
      <c r="I2835" s="31"/>
      <c r="J2835" s="155">
        <v>0</v>
      </c>
    </row>
    <row r="2836" spans="1:10" ht="15" hidden="1" thickBot="1" x14ac:dyDescent="0.35">
      <c r="A2836" s="230"/>
      <c r="B2836" s="225"/>
      <c r="C2836" s="36"/>
      <c r="D2836" s="36"/>
      <c r="E2836" s="37"/>
      <c r="F2836" s="31" t="s">
        <v>560</v>
      </c>
      <c r="G2836" s="34" t="str">
        <f t="shared" si="49"/>
        <v/>
      </c>
      <c r="H2836" s="35"/>
      <c r="I2836" s="31"/>
      <c r="J2836" s="155">
        <v>0</v>
      </c>
    </row>
    <row r="2837" spans="1:10" ht="15" hidden="1" thickBot="1" x14ac:dyDescent="0.35">
      <c r="A2837" s="226" t="s">
        <v>869</v>
      </c>
      <c r="B2837" s="223" t="e">
        <f>INDEX(#REF!,MATCH(Composições!A2837,#REF!,0),2)</f>
        <v>#REF!</v>
      </c>
      <c r="C2837" s="41"/>
      <c r="D2837" s="26" t="e">
        <f>TRIM(INDEX(#REF!,MATCH(Composições!A2837,#REF!,0),1))</f>
        <v>#REF!</v>
      </c>
      <c r="E2837" s="27"/>
      <c r="F2837" s="42" t="s">
        <v>560</v>
      </c>
      <c r="G2837" s="28" t="str">
        <f t="shared" si="49"/>
        <v/>
      </c>
      <c r="H2837" s="29"/>
      <c r="I2837" s="30"/>
      <c r="J2837" s="155">
        <v>0</v>
      </c>
    </row>
    <row r="2838" spans="1:10" ht="15" hidden="1" thickBot="1" x14ac:dyDescent="0.35">
      <c r="A2838" s="229"/>
      <c r="B2838" s="224"/>
      <c r="C2838" s="32"/>
      <c r="D2838" s="32"/>
      <c r="E2838" s="33"/>
      <c r="F2838" s="43" t="s">
        <v>560</v>
      </c>
      <c r="G2838" s="34" t="str">
        <f t="shared" si="49"/>
        <v/>
      </c>
      <c r="H2838" s="35"/>
      <c r="I2838" s="31"/>
      <c r="J2838" s="155">
        <v>0</v>
      </c>
    </row>
    <row r="2839" spans="1:10" ht="15" hidden="1" thickBot="1" x14ac:dyDescent="0.35">
      <c r="A2839" s="229"/>
      <c r="B2839" s="224"/>
      <c r="C2839" s="36" t="s">
        <v>68</v>
      </c>
      <c r="D2839" s="36" t="s">
        <v>12</v>
      </c>
      <c r="E2839" s="37">
        <v>0.2</v>
      </c>
      <c r="F2839" s="34">
        <v>18.861499999999999</v>
      </c>
      <c r="G2839" s="34">
        <f t="shared" si="49"/>
        <v>3.7723</v>
      </c>
      <c r="H2839" s="39">
        <f>SUM(G2839:G2840)</f>
        <v>3.7723</v>
      </c>
      <c r="I2839" s="40"/>
      <c r="J2839" s="155">
        <v>0</v>
      </c>
    </row>
    <row r="2840" spans="1:10" ht="40.200000000000003" hidden="1" thickBot="1" x14ac:dyDescent="0.35">
      <c r="A2840" s="229"/>
      <c r="B2840" s="224"/>
      <c r="C2840" s="36" t="s">
        <v>870</v>
      </c>
      <c r="D2840" s="36" t="s">
        <v>20</v>
      </c>
      <c r="E2840" s="37">
        <v>1</v>
      </c>
      <c r="F2840" s="31" t="s">
        <v>560</v>
      </c>
      <c r="G2840" s="34" t="str">
        <f t="shared" si="49"/>
        <v/>
      </c>
      <c r="H2840" s="35"/>
      <c r="I2840" s="31"/>
      <c r="J2840" s="155">
        <v>0</v>
      </c>
    </row>
    <row r="2841" spans="1:10" ht="15" hidden="1" thickBot="1" x14ac:dyDescent="0.35">
      <c r="A2841" s="230"/>
      <c r="B2841" s="225"/>
      <c r="C2841" s="36"/>
      <c r="D2841" s="36"/>
      <c r="E2841" s="37"/>
      <c r="F2841" s="31" t="s">
        <v>560</v>
      </c>
      <c r="G2841" s="34" t="str">
        <f t="shared" si="49"/>
        <v/>
      </c>
      <c r="H2841" s="35"/>
      <c r="I2841" s="31"/>
      <c r="J2841" s="155">
        <v>0</v>
      </c>
    </row>
    <row r="2842" spans="1:10" ht="15" hidden="1" thickBot="1" x14ac:dyDescent="0.35">
      <c r="A2842" s="226" t="s">
        <v>871</v>
      </c>
      <c r="B2842" s="223" t="e">
        <f>INDEX(#REF!,MATCH(Composições!A2842,#REF!,0),2)</f>
        <v>#REF!</v>
      </c>
      <c r="C2842" s="41"/>
      <c r="D2842" s="26" t="e">
        <f>TRIM(INDEX(#REF!,MATCH(Composições!A2842,#REF!,0),1))</f>
        <v>#REF!</v>
      </c>
      <c r="E2842" s="27"/>
      <c r="F2842" s="42" t="s">
        <v>560</v>
      </c>
      <c r="G2842" s="28" t="str">
        <f t="shared" si="49"/>
        <v/>
      </c>
      <c r="H2842" s="29"/>
      <c r="I2842" s="30"/>
      <c r="J2842" s="155">
        <v>0</v>
      </c>
    </row>
    <row r="2843" spans="1:10" ht="15" hidden="1" thickBot="1" x14ac:dyDescent="0.35">
      <c r="A2843" s="229"/>
      <c r="B2843" s="224"/>
      <c r="C2843" s="32"/>
      <c r="D2843" s="32"/>
      <c r="E2843" s="33"/>
      <c r="F2843" s="43" t="s">
        <v>560</v>
      </c>
      <c r="G2843" s="34" t="str">
        <f t="shared" si="49"/>
        <v/>
      </c>
      <c r="H2843" s="35"/>
      <c r="I2843" s="31"/>
      <c r="J2843" s="155">
        <v>0</v>
      </c>
    </row>
    <row r="2844" spans="1:10" ht="15" hidden="1" thickBot="1" x14ac:dyDescent="0.35">
      <c r="A2844" s="229"/>
      <c r="B2844" s="224"/>
      <c r="C2844" s="36" t="s">
        <v>68</v>
      </c>
      <c r="D2844" s="47" t="s">
        <v>12</v>
      </c>
      <c r="E2844" s="37">
        <v>0.4</v>
      </c>
      <c r="F2844" s="34">
        <v>18.861499999999999</v>
      </c>
      <c r="G2844" s="34">
        <f t="shared" si="49"/>
        <v>7.5446</v>
      </c>
      <c r="H2844" s="39">
        <f>SUM(G2844:G2845)</f>
        <v>7.5446</v>
      </c>
      <c r="I2844" s="40"/>
      <c r="J2844" s="155">
        <v>0</v>
      </c>
    </row>
    <row r="2845" spans="1:10" ht="15" hidden="1" thickBot="1" x14ac:dyDescent="0.35">
      <c r="A2845" s="229"/>
      <c r="B2845" s="224"/>
      <c r="C2845" s="36" t="s">
        <v>872</v>
      </c>
      <c r="D2845" s="47" t="s">
        <v>20</v>
      </c>
      <c r="E2845" s="37">
        <v>1</v>
      </c>
      <c r="F2845" s="31" t="s">
        <v>560</v>
      </c>
      <c r="G2845" s="34" t="str">
        <f t="shared" si="49"/>
        <v/>
      </c>
      <c r="H2845" s="35"/>
      <c r="I2845" s="31"/>
      <c r="J2845" s="155">
        <v>0</v>
      </c>
    </row>
    <row r="2846" spans="1:10" ht="15" hidden="1" thickBot="1" x14ac:dyDescent="0.35">
      <c r="A2846" s="230"/>
      <c r="B2846" s="225"/>
      <c r="C2846" s="36"/>
      <c r="D2846" s="36"/>
      <c r="E2846" s="37"/>
      <c r="F2846" s="31" t="s">
        <v>560</v>
      </c>
      <c r="G2846" s="34" t="str">
        <f t="shared" si="49"/>
        <v/>
      </c>
      <c r="H2846" s="35"/>
      <c r="I2846" s="31"/>
      <c r="J2846" s="155">
        <v>0</v>
      </c>
    </row>
    <row r="2847" spans="1:10" ht="15" hidden="1" thickBot="1" x14ac:dyDescent="0.35">
      <c r="A2847" s="226" t="s">
        <v>873</v>
      </c>
      <c r="B2847" s="223" t="e">
        <f>INDEX(#REF!,MATCH(Composições!A2847,#REF!,0),2)</f>
        <v>#REF!</v>
      </c>
      <c r="C2847" s="41"/>
      <c r="D2847" s="26" t="e">
        <f>TRIM(INDEX(#REF!,MATCH(Composições!A2847,#REF!,0),1))</f>
        <v>#REF!</v>
      </c>
      <c r="E2847" s="27"/>
      <c r="F2847" s="42" t="s">
        <v>560</v>
      </c>
      <c r="G2847" s="28" t="str">
        <f t="shared" si="49"/>
        <v/>
      </c>
      <c r="H2847" s="29"/>
      <c r="I2847" s="30"/>
      <c r="J2847" s="155">
        <v>0</v>
      </c>
    </row>
    <row r="2848" spans="1:10" ht="15" hidden="1" thickBot="1" x14ac:dyDescent="0.35">
      <c r="A2848" s="229"/>
      <c r="B2848" s="224"/>
      <c r="C2848" s="32"/>
      <c r="D2848" s="32"/>
      <c r="E2848" s="33"/>
      <c r="F2848" s="43" t="s">
        <v>560</v>
      </c>
      <c r="G2848" s="34" t="str">
        <f t="shared" si="49"/>
        <v/>
      </c>
      <c r="H2848" s="35"/>
      <c r="I2848" s="31"/>
      <c r="J2848" s="155">
        <v>0</v>
      </c>
    </row>
    <row r="2849" spans="1:10" ht="15" hidden="1" thickBot="1" x14ac:dyDescent="0.35">
      <c r="A2849" s="229"/>
      <c r="B2849" s="224"/>
      <c r="C2849" s="36" t="s">
        <v>68</v>
      </c>
      <c r="D2849" s="36" t="s">
        <v>12</v>
      </c>
      <c r="E2849" s="37">
        <v>0.3</v>
      </c>
      <c r="F2849" s="34">
        <v>18.861499999999999</v>
      </c>
      <c r="G2849" s="34">
        <f t="shared" si="49"/>
        <v>5.6584499999999993</v>
      </c>
      <c r="H2849" s="39">
        <f>SUM(G2849:G2850)</f>
        <v>5.6584499999999993</v>
      </c>
      <c r="I2849" s="40"/>
      <c r="J2849" s="155">
        <v>0</v>
      </c>
    </row>
    <row r="2850" spans="1:10" ht="27" hidden="1" thickBot="1" x14ac:dyDescent="0.35">
      <c r="A2850" s="229"/>
      <c r="B2850" s="224"/>
      <c r="C2850" s="36" t="s">
        <v>874</v>
      </c>
      <c r="D2850" s="47" t="s">
        <v>20</v>
      </c>
      <c r="E2850" s="37">
        <v>1</v>
      </c>
      <c r="F2850" s="31">
        <v>0</v>
      </c>
      <c r="G2850" s="34">
        <f t="shared" si="49"/>
        <v>0</v>
      </c>
      <c r="H2850" s="35"/>
      <c r="I2850" s="31"/>
      <c r="J2850" s="155">
        <v>0</v>
      </c>
    </row>
    <row r="2851" spans="1:10" ht="15" hidden="1" thickBot="1" x14ac:dyDescent="0.35">
      <c r="A2851" s="230"/>
      <c r="B2851" s="225"/>
      <c r="C2851" s="36"/>
      <c r="D2851" s="36"/>
      <c r="E2851" s="37"/>
      <c r="F2851" s="31" t="s">
        <v>560</v>
      </c>
      <c r="G2851" s="34" t="str">
        <f t="shared" si="49"/>
        <v/>
      </c>
      <c r="H2851" s="35"/>
      <c r="I2851" s="31"/>
      <c r="J2851" s="155">
        <v>0</v>
      </c>
    </row>
    <row r="2852" spans="1:10" ht="15" hidden="1" thickBot="1" x14ac:dyDescent="0.35">
      <c r="A2852" s="226" t="s">
        <v>875</v>
      </c>
      <c r="B2852" s="223" t="e">
        <f>INDEX(#REF!,MATCH(Composições!A2852,#REF!,0),2)</f>
        <v>#REF!</v>
      </c>
      <c r="C2852" s="41"/>
      <c r="D2852" s="26" t="e">
        <f>TRIM(INDEX(#REF!,MATCH(Composições!A2852,#REF!,0),1))</f>
        <v>#REF!</v>
      </c>
      <c r="E2852" s="27"/>
      <c r="F2852" s="42" t="s">
        <v>560</v>
      </c>
      <c r="G2852" s="28" t="str">
        <f t="shared" si="49"/>
        <v/>
      </c>
      <c r="H2852" s="29"/>
      <c r="I2852" s="30"/>
      <c r="J2852" s="155">
        <v>0</v>
      </c>
    </row>
    <row r="2853" spans="1:10" ht="15" hidden="1" thickBot="1" x14ac:dyDescent="0.35">
      <c r="A2853" s="229"/>
      <c r="B2853" s="224"/>
      <c r="C2853" s="32"/>
      <c r="D2853" s="32"/>
      <c r="E2853" s="33"/>
      <c r="F2853" s="43" t="s">
        <v>560</v>
      </c>
      <c r="G2853" s="34" t="str">
        <f t="shared" si="49"/>
        <v/>
      </c>
      <c r="H2853" s="35"/>
      <c r="I2853" s="31"/>
      <c r="J2853" s="155">
        <v>0</v>
      </c>
    </row>
    <row r="2854" spans="1:10" ht="15" hidden="1" thickBot="1" x14ac:dyDescent="0.35">
      <c r="A2854" s="229"/>
      <c r="B2854" s="224"/>
      <c r="C2854" s="36" t="s">
        <v>68</v>
      </c>
      <c r="D2854" s="36" t="s">
        <v>12</v>
      </c>
      <c r="E2854" s="37">
        <v>0.2</v>
      </c>
      <c r="F2854" s="34">
        <v>18.861499999999999</v>
      </c>
      <c r="G2854" s="34">
        <f t="shared" si="49"/>
        <v>3.7723</v>
      </c>
      <c r="H2854" s="39">
        <f>SUM(G2854:G2855)</f>
        <v>10.29044</v>
      </c>
      <c r="I2854" s="40"/>
      <c r="J2854" s="155">
        <v>0</v>
      </c>
    </row>
    <row r="2855" spans="1:10" ht="15" hidden="1" thickBot="1" x14ac:dyDescent="0.35">
      <c r="A2855" s="229"/>
      <c r="B2855" s="224"/>
      <c r="C2855" s="36" t="s">
        <v>876</v>
      </c>
      <c r="D2855" s="36" t="s">
        <v>42</v>
      </c>
      <c r="E2855" s="37">
        <v>0.19</v>
      </c>
      <c r="F2855" s="31">
        <v>34.305999999999997</v>
      </c>
      <c r="G2855" s="34">
        <f t="shared" si="49"/>
        <v>6.5181399999999998</v>
      </c>
      <c r="H2855" s="35"/>
      <c r="I2855" s="31"/>
      <c r="J2855" s="155">
        <v>0</v>
      </c>
    </row>
    <row r="2856" spans="1:10" ht="15" hidden="1" thickBot="1" x14ac:dyDescent="0.35">
      <c r="A2856" s="229"/>
      <c r="B2856" s="224"/>
      <c r="C2856" s="36"/>
      <c r="D2856" s="36"/>
      <c r="E2856" s="37"/>
      <c r="F2856" s="31" t="s">
        <v>560</v>
      </c>
      <c r="G2856" s="34" t="str">
        <f t="shared" si="49"/>
        <v/>
      </c>
      <c r="H2856" s="35"/>
      <c r="I2856" s="31"/>
      <c r="J2856" s="155">
        <v>0</v>
      </c>
    </row>
    <row r="2857" spans="1:10" ht="27" hidden="1" thickBot="1" x14ac:dyDescent="0.35">
      <c r="A2857" s="229"/>
      <c r="B2857" s="224"/>
      <c r="C2857" s="48" t="s">
        <v>877</v>
      </c>
      <c r="D2857" s="36"/>
      <c r="E2857" s="37"/>
      <c r="F2857" s="31" t="s">
        <v>560</v>
      </c>
      <c r="G2857" s="34" t="str">
        <f t="shared" si="49"/>
        <v/>
      </c>
      <c r="H2857" s="35"/>
      <c r="I2857" s="31"/>
      <c r="J2857" s="155">
        <v>0</v>
      </c>
    </row>
    <row r="2858" spans="1:10" ht="40.200000000000003" hidden="1" thickBot="1" x14ac:dyDescent="0.35">
      <c r="A2858" s="229"/>
      <c r="B2858" s="224"/>
      <c r="C2858" s="52" t="s">
        <v>878</v>
      </c>
      <c r="D2858" s="65"/>
      <c r="E2858" s="37"/>
      <c r="F2858" s="31" t="s">
        <v>560</v>
      </c>
      <c r="G2858" s="34" t="str">
        <f t="shared" si="49"/>
        <v/>
      </c>
      <c r="H2858" s="35"/>
      <c r="I2858" s="31"/>
      <c r="J2858" s="155">
        <v>0</v>
      </c>
    </row>
    <row r="2859" spans="1:10" ht="15" hidden="1" thickBot="1" x14ac:dyDescent="0.35">
      <c r="A2859" s="230"/>
      <c r="B2859" s="225"/>
      <c r="C2859" s="36"/>
      <c r="D2859" s="36"/>
      <c r="E2859" s="37"/>
      <c r="F2859" s="31" t="s">
        <v>560</v>
      </c>
      <c r="G2859" s="34" t="str">
        <f t="shared" si="49"/>
        <v/>
      </c>
      <c r="H2859" s="35"/>
      <c r="I2859" s="31"/>
      <c r="J2859" s="155">
        <v>0</v>
      </c>
    </row>
    <row r="2860" spans="1:10" ht="15" hidden="1" thickBot="1" x14ac:dyDescent="0.35">
      <c r="A2860" s="226" t="s">
        <v>879</v>
      </c>
      <c r="B2860" s="223" t="e">
        <f>INDEX(#REF!,MATCH(Composições!A2860,#REF!,0),2)</f>
        <v>#REF!</v>
      </c>
      <c r="C2860" s="41"/>
      <c r="D2860" s="26" t="e">
        <f>TRIM(INDEX(#REF!,MATCH(Composições!A2860,#REF!,0),1))</f>
        <v>#REF!</v>
      </c>
      <c r="E2860" s="27"/>
      <c r="F2860" s="42" t="s">
        <v>560</v>
      </c>
      <c r="G2860" s="28" t="str">
        <f t="shared" si="49"/>
        <v/>
      </c>
      <c r="H2860" s="29"/>
      <c r="I2860" s="30"/>
      <c r="J2860" s="155">
        <v>0</v>
      </c>
    </row>
    <row r="2861" spans="1:10" ht="15" hidden="1" thickBot="1" x14ac:dyDescent="0.35">
      <c r="A2861" s="227"/>
      <c r="B2861" s="224"/>
      <c r="C2861" s="32"/>
      <c r="D2861" s="32"/>
      <c r="E2861" s="33"/>
      <c r="F2861" s="43" t="s">
        <v>560</v>
      </c>
      <c r="G2861" s="34" t="str">
        <f t="shared" si="49"/>
        <v/>
      </c>
      <c r="H2861" s="35"/>
      <c r="I2861" s="31"/>
      <c r="J2861" s="155">
        <v>0</v>
      </c>
    </row>
    <row r="2862" spans="1:10" ht="15" hidden="1" thickBot="1" x14ac:dyDescent="0.35">
      <c r="A2862" s="227"/>
      <c r="B2862" s="224"/>
      <c r="C2862" s="36" t="s">
        <v>68</v>
      </c>
      <c r="D2862" s="36" t="s">
        <v>12</v>
      </c>
      <c r="E2862" s="37">
        <v>0.3</v>
      </c>
      <c r="F2862" s="34">
        <v>18.861499999999999</v>
      </c>
      <c r="G2862" s="34">
        <f t="shared" si="49"/>
        <v>5.6584499999999993</v>
      </c>
      <c r="H2862" s="39">
        <f>SUM(G2862:G2863)</f>
        <v>32.176988000000001</v>
      </c>
      <c r="I2862" s="40"/>
      <c r="J2862" s="155">
        <v>0</v>
      </c>
    </row>
    <row r="2863" spans="1:10" ht="15" hidden="1" thickBot="1" x14ac:dyDescent="0.35">
      <c r="A2863" s="227"/>
      <c r="B2863" s="224"/>
      <c r="C2863" s="36" t="s">
        <v>876</v>
      </c>
      <c r="D2863" s="47" t="s">
        <v>42</v>
      </c>
      <c r="E2863" s="37">
        <v>0.77300000000000002</v>
      </c>
      <c r="F2863" s="31">
        <v>34.305999999999997</v>
      </c>
      <c r="G2863" s="34">
        <f t="shared" si="49"/>
        <v>26.518537999999999</v>
      </c>
      <c r="H2863" s="35"/>
      <c r="I2863" s="31"/>
      <c r="J2863" s="155">
        <v>0</v>
      </c>
    </row>
    <row r="2864" spans="1:10" ht="15" hidden="1" thickBot="1" x14ac:dyDescent="0.35">
      <c r="A2864" s="227"/>
      <c r="B2864" s="224"/>
      <c r="C2864" s="36"/>
      <c r="D2864" s="47"/>
      <c r="E2864" s="37"/>
      <c r="F2864" s="31" t="s">
        <v>560</v>
      </c>
      <c r="G2864" s="34" t="str">
        <f t="shared" si="49"/>
        <v/>
      </c>
      <c r="H2864" s="35"/>
      <c r="I2864" s="31"/>
      <c r="J2864" s="155">
        <v>0</v>
      </c>
    </row>
    <row r="2865" spans="1:10" ht="27" hidden="1" thickBot="1" x14ac:dyDescent="0.35">
      <c r="A2865" s="227"/>
      <c r="B2865" s="224"/>
      <c r="C2865" s="48" t="s">
        <v>880</v>
      </c>
      <c r="D2865" s="47"/>
      <c r="E2865" s="37"/>
      <c r="F2865" s="31" t="s">
        <v>560</v>
      </c>
      <c r="G2865" s="34" t="str">
        <f t="shared" si="49"/>
        <v/>
      </c>
      <c r="H2865" s="35"/>
      <c r="I2865" s="31"/>
      <c r="J2865" s="155">
        <v>0</v>
      </c>
    </row>
    <row r="2866" spans="1:10" ht="27" hidden="1" thickBot="1" x14ac:dyDescent="0.35">
      <c r="A2866" s="227"/>
      <c r="B2866" s="224"/>
      <c r="C2866" s="52" t="s">
        <v>881</v>
      </c>
      <c r="D2866" s="47"/>
      <c r="E2866" s="37"/>
      <c r="F2866" s="31" t="s">
        <v>560</v>
      </c>
      <c r="G2866" s="34" t="str">
        <f t="shared" si="49"/>
        <v/>
      </c>
      <c r="H2866" s="35"/>
      <c r="I2866" s="31"/>
      <c r="J2866" s="155">
        <v>0</v>
      </c>
    </row>
    <row r="2867" spans="1:10" ht="15" hidden="1" thickBot="1" x14ac:dyDescent="0.35">
      <c r="A2867" s="228"/>
      <c r="B2867" s="225"/>
      <c r="C2867" s="36"/>
      <c r="D2867" s="36"/>
      <c r="E2867" s="37"/>
      <c r="F2867" s="31" t="s">
        <v>560</v>
      </c>
      <c r="G2867" s="34" t="str">
        <f t="shared" si="49"/>
        <v/>
      </c>
      <c r="H2867" s="35"/>
      <c r="I2867" s="31"/>
      <c r="J2867" s="155">
        <v>0</v>
      </c>
    </row>
    <row r="2868" spans="1:10" ht="15" hidden="1" thickBot="1" x14ac:dyDescent="0.35">
      <c r="A2868" s="226" t="s">
        <v>882</v>
      </c>
      <c r="B2868" s="223" t="e">
        <f>INDEX(#REF!,MATCH(Composições!A2868,#REF!,0),2)</f>
        <v>#REF!</v>
      </c>
      <c r="C2868" s="41"/>
      <c r="D2868" s="26" t="e">
        <f>TRIM(INDEX(#REF!,MATCH(Composições!A2868,#REF!,0),1))</f>
        <v>#REF!</v>
      </c>
      <c r="E2868" s="27"/>
      <c r="F2868" s="42" t="s">
        <v>560</v>
      </c>
      <c r="G2868" s="28" t="str">
        <f t="shared" si="49"/>
        <v/>
      </c>
      <c r="H2868" s="29"/>
      <c r="I2868" s="30"/>
      <c r="J2868" s="155">
        <v>0</v>
      </c>
    </row>
    <row r="2869" spans="1:10" ht="15" hidden="1" thickBot="1" x14ac:dyDescent="0.35">
      <c r="A2869" s="227"/>
      <c r="B2869" s="224"/>
      <c r="C2869" s="32"/>
      <c r="D2869" s="32"/>
      <c r="E2869" s="33"/>
      <c r="F2869" s="43" t="s">
        <v>560</v>
      </c>
      <c r="G2869" s="34" t="str">
        <f t="shared" si="49"/>
        <v/>
      </c>
      <c r="H2869" s="35"/>
      <c r="I2869" s="31"/>
      <c r="J2869" s="155">
        <v>0</v>
      </c>
    </row>
    <row r="2870" spans="1:10" ht="15" hidden="1" thickBot="1" x14ac:dyDescent="0.35">
      <c r="A2870" s="227"/>
      <c r="B2870" s="224"/>
      <c r="C2870" s="36" t="s">
        <v>68</v>
      </c>
      <c r="D2870" s="36" t="s">
        <v>12</v>
      </c>
      <c r="E2870" s="37">
        <v>0.2</v>
      </c>
      <c r="F2870" s="34">
        <v>18.861499999999999</v>
      </c>
      <c r="G2870" s="34">
        <f t="shared" si="49"/>
        <v>3.7723</v>
      </c>
      <c r="H2870" s="39">
        <f>SUM(G2870:G2871)</f>
        <v>13.412286</v>
      </c>
      <c r="I2870" s="40"/>
      <c r="J2870" s="155">
        <v>0</v>
      </c>
    </row>
    <row r="2871" spans="1:10" ht="15" hidden="1" thickBot="1" x14ac:dyDescent="0.35">
      <c r="A2871" s="227"/>
      <c r="B2871" s="224"/>
      <c r="C2871" s="36" t="s">
        <v>876</v>
      </c>
      <c r="D2871" s="36" t="s">
        <v>42</v>
      </c>
      <c r="E2871" s="37">
        <v>0.28100000000000003</v>
      </c>
      <c r="F2871" s="31">
        <v>34.305999999999997</v>
      </c>
      <c r="G2871" s="34">
        <f t="shared" si="49"/>
        <v>9.6399860000000004</v>
      </c>
      <c r="H2871" s="35"/>
      <c r="I2871" s="31"/>
      <c r="J2871" s="155">
        <v>0</v>
      </c>
    </row>
    <row r="2872" spans="1:10" ht="15" hidden="1" thickBot="1" x14ac:dyDescent="0.35">
      <c r="A2872" s="227"/>
      <c r="B2872" s="224"/>
      <c r="C2872" s="36"/>
      <c r="D2872" s="47"/>
      <c r="E2872" s="37"/>
      <c r="F2872" s="31" t="s">
        <v>560</v>
      </c>
      <c r="G2872" s="34" t="str">
        <f t="shared" si="49"/>
        <v/>
      </c>
      <c r="H2872" s="35"/>
      <c r="I2872" s="31"/>
      <c r="J2872" s="155">
        <v>0</v>
      </c>
    </row>
    <row r="2873" spans="1:10" ht="27" hidden="1" thickBot="1" x14ac:dyDescent="0.35">
      <c r="A2873" s="227"/>
      <c r="B2873" s="224"/>
      <c r="C2873" s="48" t="s">
        <v>883</v>
      </c>
      <c r="D2873" s="47"/>
      <c r="E2873" s="37"/>
      <c r="F2873" s="31" t="s">
        <v>560</v>
      </c>
      <c r="G2873" s="34" t="str">
        <f t="shared" si="49"/>
        <v/>
      </c>
      <c r="H2873" s="35"/>
      <c r="I2873" s="31"/>
      <c r="J2873" s="155">
        <v>0</v>
      </c>
    </row>
    <row r="2874" spans="1:10" ht="27" hidden="1" thickBot="1" x14ac:dyDescent="0.35">
      <c r="A2874" s="227"/>
      <c r="B2874" s="224"/>
      <c r="C2874" s="52" t="s">
        <v>881</v>
      </c>
      <c r="D2874" s="47"/>
      <c r="E2874" s="37"/>
      <c r="F2874" s="31" t="s">
        <v>560</v>
      </c>
      <c r="G2874" s="34" t="str">
        <f t="shared" si="49"/>
        <v/>
      </c>
      <c r="H2874" s="35"/>
      <c r="I2874" s="31"/>
      <c r="J2874" s="155">
        <v>0</v>
      </c>
    </row>
    <row r="2875" spans="1:10" ht="15" hidden="1" thickBot="1" x14ac:dyDescent="0.35">
      <c r="A2875" s="228"/>
      <c r="B2875" s="225"/>
      <c r="C2875" s="36"/>
      <c r="D2875" s="36"/>
      <c r="E2875" s="37"/>
      <c r="F2875" s="31" t="s">
        <v>560</v>
      </c>
      <c r="G2875" s="34" t="str">
        <f t="shared" si="49"/>
        <v/>
      </c>
      <c r="H2875" s="35"/>
      <c r="I2875" s="31"/>
      <c r="J2875" s="155">
        <v>0</v>
      </c>
    </row>
    <row r="2876" spans="1:10" ht="15" hidden="1" thickBot="1" x14ac:dyDescent="0.35">
      <c r="A2876" s="226" t="s">
        <v>884</v>
      </c>
      <c r="B2876" s="223" t="e">
        <f>INDEX(#REF!,MATCH(Composições!A2876,#REF!,0),2)</f>
        <v>#REF!</v>
      </c>
      <c r="C2876" s="41"/>
      <c r="D2876" s="26" t="e">
        <f>TRIM(INDEX(#REF!,MATCH(Composições!A2876,#REF!,0),1))</f>
        <v>#REF!</v>
      </c>
      <c r="E2876" s="27"/>
      <c r="F2876" s="42" t="s">
        <v>560</v>
      </c>
      <c r="G2876" s="28" t="str">
        <f t="shared" si="49"/>
        <v/>
      </c>
      <c r="H2876" s="29"/>
      <c r="I2876" s="30"/>
      <c r="J2876" s="155">
        <v>0</v>
      </c>
    </row>
    <row r="2877" spans="1:10" ht="15" hidden="1" thickBot="1" x14ac:dyDescent="0.35">
      <c r="A2877" s="227"/>
      <c r="B2877" s="224"/>
      <c r="C2877" s="32"/>
      <c r="D2877" s="32"/>
      <c r="E2877" s="33"/>
      <c r="F2877" s="43" t="s">
        <v>560</v>
      </c>
      <c r="G2877" s="34" t="str">
        <f t="shared" si="49"/>
        <v/>
      </c>
      <c r="H2877" s="35"/>
      <c r="I2877" s="31"/>
      <c r="J2877" s="155">
        <v>0</v>
      </c>
    </row>
    <row r="2878" spans="1:10" ht="15" hidden="1" thickBot="1" x14ac:dyDescent="0.35">
      <c r="A2878" s="227"/>
      <c r="B2878" s="224"/>
      <c r="C2878" s="36" t="s">
        <v>68</v>
      </c>
      <c r="D2878" s="47" t="s">
        <v>12</v>
      </c>
      <c r="E2878" s="37">
        <v>0.3</v>
      </c>
      <c r="F2878" s="34">
        <v>18.861499999999999</v>
      </c>
      <c r="G2878" s="34">
        <f t="shared" si="49"/>
        <v>5.6584499999999993</v>
      </c>
      <c r="H2878" s="39">
        <f>SUM(G2878:G2879)</f>
        <v>21.130455999999999</v>
      </c>
      <c r="I2878" s="40"/>
      <c r="J2878" s="155">
        <v>0</v>
      </c>
    </row>
    <row r="2879" spans="1:10" ht="15" hidden="1" thickBot="1" x14ac:dyDescent="0.35">
      <c r="A2879" s="227"/>
      <c r="B2879" s="224"/>
      <c r="C2879" s="36" t="s">
        <v>876</v>
      </c>
      <c r="D2879" s="36" t="s">
        <v>42</v>
      </c>
      <c r="E2879" s="37">
        <v>0.45100000000000001</v>
      </c>
      <c r="F2879" s="31">
        <v>34.305999999999997</v>
      </c>
      <c r="G2879" s="34">
        <f t="shared" si="49"/>
        <v>15.472005999999999</v>
      </c>
      <c r="H2879" s="35"/>
      <c r="I2879" s="31"/>
      <c r="J2879" s="155">
        <v>0</v>
      </c>
    </row>
    <row r="2880" spans="1:10" ht="15" hidden="1" thickBot="1" x14ac:dyDescent="0.35">
      <c r="A2880" s="227"/>
      <c r="B2880" s="224"/>
      <c r="C2880" s="36"/>
      <c r="D2880" s="47"/>
      <c r="E2880" s="37"/>
      <c r="F2880" s="31" t="s">
        <v>560</v>
      </c>
      <c r="G2880" s="34" t="str">
        <f t="shared" si="49"/>
        <v/>
      </c>
      <c r="H2880" s="35"/>
      <c r="I2880" s="31"/>
      <c r="J2880" s="155">
        <v>0</v>
      </c>
    </row>
    <row r="2881" spans="1:10" ht="27" hidden="1" thickBot="1" x14ac:dyDescent="0.35">
      <c r="A2881" s="227"/>
      <c r="B2881" s="224"/>
      <c r="C2881" s="48" t="s">
        <v>883</v>
      </c>
      <c r="D2881" s="47"/>
      <c r="E2881" s="37"/>
      <c r="F2881" s="31" t="s">
        <v>560</v>
      </c>
      <c r="G2881" s="34" t="str">
        <f t="shared" ref="G2881:G2944" si="50">IF(ISNUMBER(F2881),E2881*F2881,"")</f>
        <v/>
      </c>
      <c r="H2881" s="35"/>
      <c r="I2881" s="31"/>
      <c r="J2881" s="155">
        <v>0</v>
      </c>
    </row>
    <row r="2882" spans="1:10" ht="27" hidden="1" thickBot="1" x14ac:dyDescent="0.35">
      <c r="A2882" s="227"/>
      <c r="B2882" s="224"/>
      <c r="C2882" s="52" t="s">
        <v>881</v>
      </c>
      <c r="D2882" s="47"/>
      <c r="E2882" s="37"/>
      <c r="F2882" s="31" t="s">
        <v>560</v>
      </c>
      <c r="G2882" s="34" t="str">
        <f t="shared" si="50"/>
        <v/>
      </c>
      <c r="H2882" s="35"/>
      <c r="I2882" s="31"/>
      <c r="J2882" s="155">
        <v>0</v>
      </c>
    </row>
    <row r="2883" spans="1:10" ht="15" hidden="1" thickBot="1" x14ac:dyDescent="0.35">
      <c r="A2883" s="228"/>
      <c r="B2883" s="225"/>
      <c r="C2883" s="36"/>
      <c r="D2883" s="36"/>
      <c r="E2883" s="37"/>
      <c r="F2883" s="31" t="s">
        <v>560</v>
      </c>
      <c r="G2883" s="34" t="str">
        <f t="shared" si="50"/>
        <v/>
      </c>
      <c r="H2883" s="35"/>
      <c r="I2883" s="31"/>
      <c r="J2883" s="155">
        <v>0</v>
      </c>
    </row>
    <row r="2884" spans="1:10" ht="15" hidden="1" thickBot="1" x14ac:dyDescent="0.35">
      <c r="A2884" s="226" t="s">
        <v>885</v>
      </c>
      <c r="B2884" s="223" t="e">
        <f>INDEX(#REF!,MATCH(Composições!A2884,#REF!,0),2)</f>
        <v>#REF!</v>
      </c>
      <c r="C2884" s="41"/>
      <c r="D2884" s="26" t="e">
        <f>TRIM(INDEX(#REF!,MATCH(Composições!A2884,#REF!,0),1))</f>
        <v>#REF!</v>
      </c>
      <c r="E2884" s="27"/>
      <c r="F2884" s="42" t="s">
        <v>560</v>
      </c>
      <c r="G2884" s="28" t="str">
        <f t="shared" si="50"/>
        <v/>
      </c>
      <c r="H2884" s="29"/>
      <c r="I2884" s="30"/>
      <c r="J2884" s="155">
        <v>0</v>
      </c>
    </row>
    <row r="2885" spans="1:10" ht="15" hidden="1" thickBot="1" x14ac:dyDescent="0.35">
      <c r="A2885" s="227"/>
      <c r="B2885" s="224"/>
      <c r="C2885" s="32"/>
      <c r="D2885" s="32"/>
      <c r="E2885" s="33"/>
      <c r="F2885" s="43" t="s">
        <v>560</v>
      </c>
      <c r="G2885" s="34" t="str">
        <f t="shared" si="50"/>
        <v/>
      </c>
      <c r="H2885" s="35"/>
      <c r="I2885" s="31"/>
      <c r="J2885" s="155">
        <v>0</v>
      </c>
    </row>
    <row r="2886" spans="1:10" ht="15" hidden="1" thickBot="1" x14ac:dyDescent="0.35">
      <c r="A2886" s="227"/>
      <c r="B2886" s="224"/>
      <c r="C2886" s="36" t="s">
        <v>68</v>
      </c>
      <c r="D2886" s="47" t="s">
        <v>12</v>
      </c>
      <c r="E2886" s="37">
        <v>0.15</v>
      </c>
      <c r="F2886" s="34">
        <v>18.861499999999999</v>
      </c>
      <c r="G2886" s="34">
        <f t="shared" si="50"/>
        <v>2.8292249999999997</v>
      </c>
      <c r="H2886" s="39">
        <f>SUM(G2886:G2887)</f>
        <v>6.6028849999999988</v>
      </c>
      <c r="I2886" s="40"/>
      <c r="J2886" s="155">
        <v>0</v>
      </c>
    </row>
    <row r="2887" spans="1:10" ht="15" hidden="1" thickBot="1" x14ac:dyDescent="0.35">
      <c r="A2887" s="227"/>
      <c r="B2887" s="224"/>
      <c r="C2887" s="36" t="s">
        <v>876</v>
      </c>
      <c r="D2887" s="47" t="s">
        <v>42</v>
      </c>
      <c r="E2887" s="37">
        <v>0.11</v>
      </c>
      <c r="F2887" s="31">
        <v>34.305999999999997</v>
      </c>
      <c r="G2887" s="34">
        <f t="shared" si="50"/>
        <v>3.7736599999999996</v>
      </c>
      <c r="H2887" s="35"/>
      <c r="I2887" s="31"/>
      <c r="J2887" s="155">
        <v>0</v>
      </c>
    </row>
    <row r="2888" spans="1:10" ht="15" hidden="1" thickBot="1" x14ac:dyDescent="0.35">
      <c r="A2888" s="227"/>
      <c r="B2888" s="224"/>
      <c r="C2888" s="36"/>
      <c r="D2888" s="47"/>
      <c r="E2888" s="37"/>
      <c r="F2888" s="31" t="s">
        <v>560</v>
      </c>
      <c r="G2888" s="34" t="str">
        <f t="shared" si="50"/>
        <v/>
      </c>
      <c r="H2888" s="35"/>
      <c r="I2888" s="31"/>
      <c r="J2888" s="155">
        <v>0</v>
      </c>
    </row>
    <row r="2889" spans="1:10" ht="27" hidden="1" thickBot="1" x14ac:dyDescent="0.35">
      <c r="A2889" s="227"/>
      <c r="B2889" s="224"/>
      <c r="C2889" s="48" t="s">
        <v>886</v>
      </c>
      <c r="D2889" s="47"/>
      <c r="E2889" s="37"/>
      <c r="F2889" s="31" t="s">
        <v>560</v>
      </c>
      <c r="G2889" s="34" t="str">
        <f t="shared" si="50"/>
        <v/>
      </c>
      <c r="H2889" s="35"/>
      <c r="I2889" s="31"/>
      <c r="J2889" s="155">
        <v>0</v>
      </c>
    </row>
    <row r="2890" spans="1:10" ht="27" hidden="1" thickBot="1" x14ac:dyDescent="0.35">
      <c r="A2890" s="227"/>
      <c r="B2890" s="224"/>
      <c r="C2890" s="52" t="s">
        <v>881</v>
      </c>
      <c r="D2890" s="47"/>
      <c r="E2890" s="37"/>
      <c r="F2890" s="31" t="s">
        <v>560</v>
      </c>
      <c r="G2890" s="34" t="str">
        <f t="shared" si="50"/>
        <v/>
      </c>
      <c r="H2890" s="35"/>
      <c r="I2890" s="31"/>
      <c r="J2890" s="155">
        <v>0</v>
      </c>
    </row>
    <row r="2891" spans="1:10" ht="15" hidden="1" thickBot="1" x14ac:dyDescent="0.35">
      <c r="A2891" s="228"/>
      <c r="B2891" s="225"/>
      <c r="C2891" s="36"/>
      <c r="D2891" s="36"/>
      <c r="E2891" s="37"/>
      <c r="F2891" s="31" t="s">
        <v>560</v>
      </c>
      <c r="G2891" s="34" t="str">
        <f t="shared" si="50"/>
        <v/>
      </c>
      <c r="H2891" s="35"/>
      <c r="I2891" s="31"/>
      <c r="J2891" s="155">
        <v>0</v>
      </c>
    </row>
    <row r="2892" spans="1:10" ht="15" hidden="1" thickBot="1" x14ac:dyDescent="0.35">
      <c r="A2892" s="226" t="s">
        <v>887</v>
      </c>
      <c r="B2892" s="223" t="e">
        <f>INDEX(#REF!,MATCH(Composições!A2892,#REF!,0),2)</f>
        <v>#REF!</v>
      </c>
      <c r="C2892" s="41"/>
      <c r="D2892" s="26" t="e">
        <f>TRIM(INDEX(#REF!,MATCH(Composições!A2892,#REF!,0),1))</f>
        <v>#REF!</v>
      </c>
      <c r="E2892" s="27"/>
      <c r="F2892" s="42" t="s">
        <v>560</v>
      </c>
      <c r="G2892" s="28" t="str">
        <f t="shared" si="50"/>
        <v/>
      </c>
      <c r="H2892" s="29"/>
      <c r="I2892" s="30"/>
      <c r="J2892" s="155">
        <v>0</v>
      </c>
    </row>
    <row r="2893" spans="1:10" ht="15" hidden="1" thickBot="1" x14ac:dyDescent="0.35">
      <c r="A2893" s="229"/>
      <c r="B2893" s="224"/>
      <c r="C2893" s="32"/>
      <c r="D2893" s="32"/>
      <c r="E2893" s="33"/>
      <c r="F2893" s="43" t="s">
        <v>560</v>
      </c>
      <c r="G2893" s="34" t="str">
        <f t="shared" si="50"/>
        <v/>
      </c>
      <c r="H2893" s="35"/>
      <c r="I2893" s="31"/>
      <c r="J2893" s="155">
        <v>0</v>
      </c>
    </row>
    <row r="2894" spans="1:10" ht="15" hidden="1" thickBot="1" x14ac:dyDescent="0.35">
      <c r="A2894" s="229"/>
      <c r="B2894" s="224"/>
      <c r="C2894" s="36" t="s">
        <v>68</v>
      </c>
      <c r="D2894" s="47" t="s">
        <v>12</v>
      </c>
      <c r="E2894" s="37">
        <v>0.3</v>
      </c>
      <c r="F2894" s="34">
        <v>18.861499999999999</v>
      </c>
      <c r="G2894" s="34">
        <f t="shared" si="50"/>
        <v>5.6584499999999993</v>
      </c>
      <c r="H2894" s="39">
        <f>SUM(G2894:G2895)</f>
        <v>5.6584499999999993</v>
      </c>
      <c r="I2894" s="40"/>
      <c r="J2894" s="155">
        <v>0</v>
      </c>
    </row>
    <row r="2895" spans="1:10" ht="27" hidden="1" thickBot="1" x14ac:dyDescent="0.35">
      <c r="A2895" s="229"/>
      <c r="B2895" s="224"/>
      <c r="C2895" s="36" t="s">
        <v>888</v>
      </c>
      <c r="D2895" s="36" t="s">
        <v>20</v>
      </c>
      <c r="E2895" s="37">
        <v>1</v>
      </c>
      <c r="F2895" s="31">
        <v>0</v>
      </c>
      <c r="G2895" s="34">
        <f t="shared" si="50"/>
        <v>0</v>
      </c>
      <c r="H2895" s="35"/>
      <c r="I2895" s="31"/>
      <c r="J2895" s="155">
        <v>0</v>
      </c>
    </row>
    <row r="2896" spans="1:10" ht="15" hidden="1" thickBot="1" x14ac:dyDescent="0.35">
      <c r="A2896" s="230"/>
      <c r="B2896" s="225"/>
      <c r="C2896" s="36"/>
      <c r="D2896" s="36"/>
      <c r="E2896" s="37"/>
      <c r="F2896" s="31" t="s">
        <v>560</v>
      </c>
      <c r="G2896" s="34" t="str">
        <f t="shared" si="50"/>
        <v/>
      </c>
      <c r="H2896" s="35"/>
      <c r="I2896" s="31"/>
      <c r="J2896" s="155">
        <v>0</v>
      </c>
    </row>
    <row r="2897" spans="1:10" ht="15" hidden="1" thickBot="1" x14ac:dyDescent="0.35">
      <c r="A2897" s="226" t="s">
        <v>889</v>
      </c>
      <c r="B2897" s="223" t="e">
        <f>INDEX(#REF!,MATCH(Composições!A2897,#REF!,0),2)</f>
        <v>#REF!</v>
      </c>
      <c r="C2897" s="41"/>
      <c r="D2897" s="26" t="e">
        <f>TRIM(INDEX(#REF!,MATCH(Composições!A2897,#REF!,0),1))</f>
        <v>#REF!</v>
      </c>
      <c r="E2897" s="27"/>
      <c r="F2897" s="42" t="s">
        <v>560</v>
      </c>
      <c r="G2897" s="28" t="str">
        <f t="shared" si="50"/>
        <v/>
      </c>
      <c r="H2897" s="29"/>
      <c r="I2897" s="30"/>
      <c r="J2897" s="155">
        <v>0</v>
      </c>
    </row>
    <row r="2898" spans="1:10" ht="15" hidden="1" thickBot="1" x14ac:dyDescent="0.35">
      <c r="A2898" s="229"/>
      <c r="B2898" s="224"/>
      <c r="C2898" s="32"/>
      <c r="D2898" s="32"/>
      <c r="E2898" s="33"/>
      <c r="F2898" s="43" t="s">
        <v>560</v>
      </c>
      <c r="G2898" s="34" t="str">
        <f t="shared" si="50"/>
        <v/>
      </c>
      <c r="H2898" s="35"/>
      <c r="I2898" s="31"/>
      <c r="J2898" s="155">
        <v>0</v>
      </c>
    </row>
    <row r="2899" spans="1:10" ht="15" hidden="1" thickBot="1" x14ac:dyDescent="0.35">
      <c r="A2899" s="229"/>
      <c r="B2899" s="224"/>
      <c r="C2899" s="36" t="s">
        <v>68</v>
      </c>
      <c r="D2899" s="47" t="s">
        <v>12</v>
      </c>
      <c r="E2899" s="37">
        <v>0.3</v>
      </c>
      <c r="F2899" s="34">
        <v>18.861499999999999</v>
      </c>
      <c r="G2899" s="34">
        <f t="shared" si="50"/>
        <v>5.6584499999999993</v>
      </c>
      <c r="H2899" s="39">
        <f>SUM(G2899:G2900)</f>
        <v>5.6584499999999993</v>
      </c>
      <c r="I2899" s="40"/>
      <c r="J2899" s="155">
        <v>0</v>
      </c>
    </row>
    <row r="2900" spans="1:10" ht="40.200000000000003" hidden="1" thickBot="1" x14ac:dyDescent="0.35">
      <c r="A2900" s="229"/>
      <c r="B2900" s="224"/>
      <c r="C2900" s="36" t="s">
        <v>890</v>
      </c>
      <c r="D2900" s="36" t="s">
        <v>20</v>
      </c>
      <c r="E2900" s="37">
        <v>1</v>
      </c>
      <c r="F2900" s="31" t="s">
        <v>560</v>
      </c>
      <c r="G2900" s="34" t="str">
        <f t="shared" si="50"/>
        <v/>
      </c>
      <c r="H2900" s="35"/>
      <c r="I2900" s="31"/>
      <c r="J2900" s="155">
        <v>0</v>
      </c>
    </row>
    <row r="2901" spans="1:10" ht="15" hidden="1" thickBot="1" x14ac:dyDescent="0.35">
      <c r="A2901" s="230"/>
      <c r="B2901" s="225"/>
      <c r="C2901" s="36"/>
      <c r="D2901" s="36"/>
      <c r="E2901" s="37"/>
      <c r="F2901" s="31" t="s">
        <v>560</v>
      </c>
      <c r="G2901" s="34" t="str">
        <f t="shared" si="50"/>
        <v/>
      </c>
      <c r="H2901" s="35"/>
      <c r="I2901" s="31"/>
      <c r="J2901" s="155">
        <v>0</v>
      </c>
    </row>
    <row r="2902" spans="1:10" ht="15" hidden="1" thickBot="1" x14ac:dyDescent="0.35">
      <c r="A2902" s="226" t="s">
        <v>891</v>
      </c>
      <c r="B2902" s="223" t="e">
        <f>INDEX(#REF!,MATCH(Composições!A2902,#REF!,0),2)</f>
        <v>#REF!</v>
      </c>
      <c r="C2902" s="41"/>
      <c r="D2902" s="26" t="e">
        <f>TRIM(INDEX(#REF!,MATCH(Composições!A2902,#REF!,0),1))</f>
        <v>#REF!</v>
      </c>
      <c r="E2902" s="27"/>
      <c r="F2902" s="42" t="s">
        <v>560</v>
      </c>
      <c r="G2902" s="28" t="str">
        <f t="shared" si="50"/>
        <v/>
      </c>
      <c r="H2902" s="29"/>
      <c r="I2902" s="30"/>
      <c r="J2902" s="155">
        <v>0</v>
      </c>
    </row>
    <row r="2903" spans="1:10" ht="15" hidden="1" thickBot="1" x14ac:dyDescent="0.35">
      <c r="A2903" s="229"/>
      <c r="B2903" s="224"/>
      <c r="C2903" s="32"/>
      <c r="D2903" s="32"/>
      <c r="E2903" s="33"/>
      <c r="F2903" s="43" t="s">
        <v>560</v>
      </c>
      <c r="G2903" s="34" t="str">
        <f t="shared" si="50"/>
        <v/>
      </c>
      <c r="H2903" s="35"/>
      <c r="I2903" s="31"/>
      <c r="J2903" s="155">
        <v>0</v>
      </c>
    </row>
    <row r="2904" spans="1:10" ht="15" hidden="1" thickBot="1" x14ac:dyDescent="0.35">
      <c r="A2904" s="229"/>
      <c r="B2904" s="224"/>
      <c r="C2904" s="36" t="s">
        <v>68</v>
      </c>
      <c r="D2904" s="36" t="s">
        <v>12</v>
      </c>
      <c r="E2904" s="37">
        <v>0.15</v>
      </c>
      <c r="F2904" s="34">
        <v>18.861499999999999</v>
      </c>
      <c r="G2904" s="34">
        <f t="shared" si="50"/>
        <v>2.8292249999999997</v>
      </c>
      <c r="H2904" s="39">
        <f>SUM(G2904:G2905)</f>
        <v>2.8292249999999997</v>
      </c>
      <c r="I2904" s="40"/>
      <c r="J2904" s="155">
        <v>0</v>
      </c>
    </row>
    <row r="2905" spans="1:10" ht="27" hidden="1" thickBot="1" x14ac:dyDescent="0.35">
      <c r="A2905" s="229"/>
      <c r="B2905" s="224"/>
      <c r="C2905" s="36" t="s">
        <v>892</v>
      </c>
      <c r="D2905" s="36" t="s">
        <v>20</v>
      </c>
      <c r="E2905" s="37">
        <v>1</v>
      </c>
      <c r="F2905" s="31" t="s">
        <v>560</v>
      </c>
      <c r="G2905" s="34" t="str">
        <f t="shared" si="50"/>
        <v/>
      </c>
      <c r="H2905" s="35"/>
      <c r="I2905" s="31"/>
      <c r="J2905" s="155">
        <v>0</v>
      </c>
    </row>
    <row r="2906" spans="1:10" ht="15" hidden="1" thickBot="1" x14ac:dyDescent="0.35">
      <c r="A2906" s="230"/>
      <c r="B2906" s="225"/>
      <c r="C2906" s="36"/>
      <c r="D2906" s="36"/>
      <c r="E2906" s="37"/>
      <c r="F2906" s="31" t="s">
        <v>560</v>
      </c>
      <c r="G2906" s="34" t="str">
        <f t="shared" si="50"/>
        <v/>
      </c>
      <c r="H2906" s="35"/>
      <c r="I2906" s="31"/>
      <c r="J2906" s="155">
        <v>0</v>
      </c>
    </row>
    <row r="2907" spans="1:10" ht="15" hidden="1" thickBot="1" x14ac:dyDescent="0.35">
      <c r="A2907" s="226" t="s">
        <v>893</v>
      </c>
      <c r="B2907" s="223" t="e">
        <f>INDEX(#REF!,MATCH(Composições!A2907,#REF!,0),2)</f>
        <v>#REF!</v>
      </c>
      <c r="C2907" s="41"/>
      <c r="D2907" s="26" t="e">
        <f>TRIM(INDEX(#REF!,MATCH(Composições!A2907,#REF!,0),1))</f>
        <v>#REF!</v>
      </c>
      <c r="E2907" s="27"/>
      <c r="F2907" s="42" t="s">
        <v>560</v>
      </c>
      <c r="G2907" s="28" t="str">
        <f t="shared" si="50"/>
        <v/>
      </c>
      <c r="H2907" s="29"/>
      <c r="I2907" s="30"/>
      <c r="J2907" s="155">
        <v>0</v>
      </c>
    </row>
    <row r="2908" spans="1:10" ht="15" hidden="1" thickBot="1" x14ac:dyDescent="0.35">
      <c r="A2908" s="229"/>
      <c r="B2908" s="224"/>
      <c r="C2908" s="32"/>
      <c r="D2908" s="32"/>
      <c r="E2908" s="33"/>
      <c r="F2908" s="43" t="s">
        <v>560</v>
      </c>
      <c r="G2908" s="34" t="str">
        <f t="shared" si="50"/>
        <v/>
      </c>
      <c r="H2908" s="35"/>
      <c r="I2908" s="31"/>
      <c r="J2908" s="155">
        <v>0</v>
      </c>
    </row>
    <row r="2909" spans="1:10" ht="15" hidden="1" thickBot="1" x14ac:dyDescent="0.35">
      <c r="A2909" s="229"/>
      <c r="B2909" s="224"/>
      <c r="C2909" s="36" t="s">
        <v>68</v>
      </c>
      <c r="D2909" s="36" t="s">
        <v>12</v>
      </c>
      <c r="E2909" s="37">
        <v>0.15</v>
      </c>
      <c r="F2909" s="34">
        <v>18.861499999999999</v>
      </c>
      <c r="G2909" s="34">
        <f t="shared" si="50"/>
        <v>2.8292249999999997</v>
      </c>
      <c r="H2909" s="39">
        <f>SUM(G2909:G2910)</f>
        <v>2.8292249999999997</v>
      </c>
      <c r="I2909" s="40"/>
      <c r="J2909" s="155">
        <v>0</v>
      </c>
    </row>
    <row r="2910" spans="1:10" ht="27" hidden="1" thickBot="1" x14ac:dyDescent="0.35">
      <c r="A2910" s="229"/>
      <c r="B2910" s="224"/>
      <c r="C2910" s="36" t="s">
        <v>894</v>
      </c>
      <c r="D2910" s="36" t="s">
        <v>20</v>
      </c>
      <c r="E2910" s="37">
        <v>1</v>
      </c>
      <c r="F2910" s="31" t="s">
        <v>560</v>
      </c>
      <c r="G2910" s="34" t="str">
        <f t="shared" si="50"/>
        <v/>
      </c>
      <c r="H2910" s="35"/>
      <c r="I2910" s="31"/>
      <c r="J2910" s="155">
        <v>0</v>
      </c>
    </row>
    <row r="2911" spans="1:10" ht="15" hidden="1" thickBot="1" x14ac:dyDescent="0.35">
      <c r="A2911" s="230"/>
      <c r="B2911" s="225"/>
      <c r="C2911" s="36"/>
      <c r="D2911" s="36"/>
      <c r="E2911" s="37"/>
      <c r="F2911" s="31" t="s">
        <v>560</v>
      </c>
      <c r="G2911" s="34" t="str">
        <f t="shared" si="50"/>
        <v/>
      </c>
      <c r="H2911" s="35"/>
      <c r="I2911" s="31"/>
      <c r="J2911" s="155">
        <v>0</v>
      </c>
    </row>
    <row r="2912" spans="1:10" ht="15" hidden="1" thickBot="1" x14ac:dyDescent="0.35">
      <c r="A2912" s="226" t="s">
        <v>895</v>
      </c>
      <c r="B2912" s="223" t="e">
        <f>INDEX(#REF!,MATCH(Composições!A2912,#REF!,0),2)</f>
        <v>#REF!</v>
      </c>
      <c r="C2912" s="41"/>
      <c r="D2912" s="26" t="e">
        <f>TRIM(INDEX(#REF!,MATCH(Composições!A2912,#REF!,0),1))</f>
        <v>#REF!</v>
      </c>
      <c r="E2912" s="27"/>
      <c r="F2912" s="42" t="s">
        <v>560</v>
      </c>
      <c r="G2912" s="28" t="str">
        <f t="shared" si="50"/>
        <v/>
      </c>
      <c r="H2912" s="29"/>
      <c r="I2912" s="30"/>
      <c r="J2912" s="155">
        <v>0</v>
      </c>
    </row>
    <row r="2913" spans="1:10" ht="15" hidden="1" thickBot="1" x14ac:dyDescent="0.35">
      <c r="A2913" s="229"/>
      <c r="B2913" s="224"/>
      <c r="C2913" s="32"/>
      <c r="D2913" s="32"/>
      <c r="E2913" s="33"/>
      <c r="F2913" s="43" t="s">
        <v>560</v>
      </c>
      <c r="G2913" s="34" t="str">
        <f t="shared" si="50"/>
        <v/>
      </c>
      <c r="H2913" s="35"/>
      <c r="I2913" s="31"/>
      <c r="J2913" s="155">
        <v>0</v>
      </c>
    </row>
    <row r="2914" spans="1:10" ht="15" hidden="1" thickBot="1" x14ac:dyDescent="0.35">
      <c r="A2914" s="229"/>
      <c r="B2914" s="224"/>
      <c r="C2914" s="36" t="s">
        <v>68</v>
      </c>
      <c r="D2914" s="36" t="s">
        <v>12</v>
      </c>
      <c r="E2914" s="37">
        <v>0.1</v>
      </c>
      <c r="F2914" s="34">
        <v>18.861499999999999</v>
      </c>
      <c r="G2914" s="34">
        <f t="shared" si="50"/>
        <v>1.88615</v>
      </c>
      <c r="H2914" s="39">
        <f>SUM(G2914:G2915)</f>
        <v>1.88615</v>
      </c>
      <c r="I2914" s="40"/>
      <c r="J2914" s="155">
        <v>0</v>
      </c>
    </row>
    <row r="2915" spans="1:10" ht="40.200000000000003" hidden="1" thickBot="1" x14ac:dyDescent="0.35">
      <c r="A2915" s="229"/>
      <c r="B2915" s="224"/>
      <c r="C2915" s="36" t="s">
        <v>896</v>
      </c>
      <c r="D2915" s="36" t="s">
        <v>20</v>
      </c>
      <c r="E2915" s="37">
        <v>1</v>
      </c>
      <c r="F2915" s="31">
        <v>0</v>
      </c>
      <c r="G2915" s="34">
        <f t="shared" si="50"/>
        <v>0</v>
      </c>
      <c r="H2915" s="35"/>
      <c r="I2915" s="31"/>
      <c r="J2915" s="155">
        <v>0</v>
      </c>
    </row>
    <row r="2916" spans="1:10" ht="15" hidden="1" thickBot="1" x14ac:dyDescent="0.35">
      <c r="A2916" s="230"/>
      <c r="B2916" s="225"/>
      <c r="C2916" s="36"/>
      <c r="D2916" s="36"/>
      <c r="E2916" s="37"/>
      <c r="F2916" s="31" t="s">
        <v>560</v>
      </c>
      <c r="G2916" s="34" t="str">
        <f t="shared" si="50"/>
        <v/>
      </c>
      <c r="H2916" s="35"/>
      <c r="I2916" s="31"/>
      <c r="J2916" s="155">
        <v>0</v>
      </c>
    </row>
    <row r="2917" spans="1:10" ht="15" hidden="1" thickBot="1" x14ac:dyDescent="0.35">
      <c r="A2917" s="226" t="s">
        <v>897</v>
      </c>
      <c r="B2917" s="223" t="e">
        <f>INDEX(#REF!,MATCH(Composições!A2917,#REF!,0),2)</f>
        <v>#REF!</v>
      </c>
      <c r="C2917" s="41"/>
      <c r="D2917" s="26" t="e">
        <f>TRIM(INDEX(#REF!,MATCH(Composições!A2917,#REF!,0),1))</f>
        <v>#REF!</v>
      </c>
      <c r="E2917" s="27"/>
      <c r="F2917" s="42" t="s">
        <v>560</v>
      </c>
      <c r="G2917" s="28" t="str">
        <f t="shared" si="50"/>
        <v/>
      </c>
      <c r="H2917" s="29"/>
      <c r="I2917" s="30"/>
      <c r="J2917" s="155">
        <v>0</v>
      </c>
    </row>
    <row r="2918" spans="1:10" ht="15" hidden="1" thickBot="1" x14ac:dyDescent="0.35">
      <c r="A2918" s="229"/>
      <c r="B2918" s="224"/>
      <c r="C2918" s="32"/>
      <c r="D2918" s="32"/>
      <c r="E2918" s="33"/>
      <c r="F2918" s="43" t="s">
        <v>560</v>
      </c>
      <c r="G2918" s="34" t="str">
        <f t="shared" si="50"/>
        <v/>
      </c>
      <c r="H2918" s="35"/>
      <c r="I2918" s="31"/>
      <c r="J2918" s="155">
        <v>0</v>
      </c>
    </row>
    <row r="2919" spans="1:10" ht="15" hidden="1" thickBot="1" x14ac:dyDescent="0.35">
      <c r="A2919" s="229"/>
      <c r="B2919" s="224"/>
      <c r="C2919" s="36" t="s">
        <v>68</v>
      </c>
      <c r="D2919" s="36" t="s">
        <v>12</v>
      </c>
      <c r="E2919" s="37">
        <v>0.4</v>
      </c>
      <c r="F2919" s="34">
        <v>18.861499999999999</v>
      </c>
      <c r="G2919" s="34">
        <f t="shared" si="50"/>
        <v>7.5446</v>
      </c>
      <c r="H2919" s="39">
        <f>SUM(G2919:G2920)</f>
        <v>7.5446</v>
      </c>
      <c r="I2919" s="40"/>
      <c r="J2919" s="155">
        <v>0</v>
      </c>
    </row>
    <row r="2920" spans="1:10" ht="40.200000000000003" hidden="1" thickBot="1" x14ac:dyDescent="0.35">
      <c r="A2920" s="229"/>
      <c r="B2920" s="224"/>
      <c r="C2920" s="36" t="s">
        <v>898</v>
      </c>
      <c r="D2920" s="36" t="s">
        <v>20</v>
      </c>
      <c r="E2920" s="37">
        <v>1</v>
      </c>
      <c r="F2920" s="31">
        <v>0</v>
      </c>
      <c r="G2920" s="34">
        <f t="shared" si="50"/>
        <v>0</v>
      </c>
      <c r="H2920" s="35"/>
      <c r="I2920" s="31"/>
      <c r="J2920" s="155">
        <v>0</v>
      </c>
    </row>
    <row r="2921" spans="1:10" ht="15" hidden="1" thickBot="1" x14ac:dyDescent="0.35">
      <c r="A2921" s="230"/>
      <c r="B2921" s="225"/>
      <c r="C2921" s="36"/>
      <c r="D2921" s="36"/>
      <c r="E2921" s="37"/>
      <c r="F2921" s="31" t="s">
        <v>560</v>
      </c>
      <c r="G2921" s="34" t="str">
        <f t="shared" si="50"/>
        <v/>
      </c>
      <c r="H2921" s="35"/>
      <c r="I2921" s="31"/>
      <c r="J2921" s="155">
        <v>0</v>
      </c>
    </row>
    <row r="2922" spans="1:10" ht="15" hidden="1" thickBot="1" x14ac:dyDescent="0.35">
      <c r="A2922" s="226" t="s">
        <v>899</v>
      </c>
      <c r="B2922" s="223" t="e">
        <f>INDEX(#REF!,MATCH(Composições!A2922,#REF!,0),2)</f>
        <v>#REF!</v>
      </c>
      <c r="C2922" s="41"/>
      <c r="D2922" s="26" t="e">
        <f>TRIM(INDEX(#REF!,MATCH(Composições!A2922,#REF!,0),1))</f>
        <v>#REF!</v>
      </c>
      <c r="E2922" s="27"/>
      <c r="F2922" s="42" t="s">
        <v>560</v>
      </c>
      <c r="G2922" s="28" t="str">
        <f t="shared" si="50"/>
        <v/>
      </c>
      <c r="H2922" s="29"/>
      <c r="I2922" s="30"/>
      <c r="J2922" s="155">
        <v>0</v>
      </c>
    </row>
    <row r="2923" spans="1:10" ht="15" hidden="1" thickBot="1" x14ac:dyDescent="0.35">
      <c r="A2923" s="229"/>
      <c r="B2923" s="224"/>
      <c r="C2923" s="32"/>
      <c r="D2923" s="32"/>
      <c r="E2923" s="33"/>
      <c r="F2923" s="43" t="s">
        <v>560</v>
      </c>
      <c r="G2923" s="34" t="str">
        <f t="shared" si="50"/>
        <v/>
      </c>
      <c r="H2923" s="35"/>
      <c r="I2923" s="31"/>
      <c r="J2923" s="155">
        <v>0</v>
      </c>
    </row>
    <row r="2924" spans="1:10" ht="15" hidden="1" thickBot="1" x14ac:dyDescent="0.35">
      <c r="A2924" s="229"/>
      <c r="B2924" s="224"/>
      <c r="C2924" s="36" t="s">
        <v>68</v>
      </c>
      <c r="D2924" s="36" t="s">
        <v>12</v>
      </c>
      <c r="E2924" s="37">
        <v>0.4</v>
      </c>
      <c r="F2924" s="34">
        <v>18.861499999999999</v>
      </c>
      <c r="G2924" s="34">
        <f t="shared" si="50"/>
        <v>7.5446</v>
      </c>
      <c r="H2924" s="39">
        <f>SUM(G2924:G2925)</f>
        <v>7.5446</v>
      </c>
      <c r="I2924" s="40"/>
      <c r="J2924" s="155">
        <v>0</v>
      </c>
    </row>
    <row r="2925" spans="1:10" ht="40.200000000000003" hidden="1" thickBot="1" x14ac:dyDescent="0.35">
      <c r="A2925" s="229"/>
      <c r="B2925" s="224"/>
      <c r="C2925" s="36" t="s">
        <v>900</v>
      </c>
      <c r="D2925" s="36" t="s">
        <v>20</v>
      </c>
      <c r="E2925" s="37">
        <v>1</v>
      </c>
      <c r="F2925" s="31" t="s">
        <v>560</v>
      </c>
      <c r="G2925" s="34" t="str">
        <f t="shared" si="50"/>
        <v/>
      </c>
      <c r="H2925" s="35"/>
      <c r="I2925" s="31"/>
      <c r="J2925" s="155">
        <v>0</v>
      </c>
    </row>
    <row r="2926" spans="1:10" ht="15" hidden="1" thickBot="1" x14ac:dyDescent="0.35">
      <c r="A2926" s="230"/>
      <c r="B2926" s="225"/>
      <c r="C2926" s="36"/>
      <c r="D2926" s="36"/>
      <c r="E2926" s="37"/>
      <c r="F2926" s="31" t="s">
        <v>560</v>
      </c>
      <c r="G2926" s="34" t="str">
        <f t="shared" si="50"/>
        <v/>
      </c>
      <c r="H2926" s="35"/>
      <c r="I2926" s="31"/>
      <c r="J2926" s="155">
        <v>0</v>
      </c>
    </row>
    <row r="2927" spans="1:10" ht="15" hidden="1" thickBot="1" x14ac:dyDescent="0.35">
      <c r="A2927" s="226" t="s">
        <v>901</v>
      </c>
      <c r="B2927" s="223" t="e">
        <f>INDEX(#REF!,MATCH(Composições!A2927,#REF!,0),2)</f>
        <v>#REF!</v>
      </c>
      <c r="C2927" s="41"/>
      <c r="D2927" s="26" t="e">
        <f>TRIM(INDEX(#REF!,MATCH(Composições!A2927,#REF!,0),1))</f>
        <v>#REF!</v>
      </c>
      <c r="E2927" s="27"/>
      <c r="F2927" s="42" t="s">
        <v>560</v>
      </c>
      <c r="G2927" s="28" t="str">
        <f t="shared" si="50"/>
        <v/>
      </c>
      <c r="H2927" s="29"/>
      <c r="I2927" s="30"/>
      <c r="J2927" s="155">
        <v>0</v>
      </c>
    </row>
    <row r="2928" spans="1:10" ht="15" hidden="1" thickBot="1" x14ac:dyDescent="0.35">
      <c r="A2928" s="229"/>
      <c r="B2928" s="224"/>
      <c r="C2928" s="32"/>
      <c r="D2928" s="32"/>
      <c r="E2928" s="33"/>
      <c r="F2928" s="43" t="s">
        <v>560</v>
      </c>
      <c r="G2928" s="34" t="str">
        <f t="shared" si="50"/>
        <v/>
      </c>
      <c r="H2928" s="35"/>
      <c r="I2928" s="31"/>
      <c r="J2928" s="155">
        <v>0</v>
      </c>
    </row>
    <row r="2929" spans="1:10" ht="15" hidden="1" thickBot="1" x14ac:dyDescent="0.35">
      <c r="A2929" s="229"/>
      <c r="B2929" s="224"/>
      <c r="C2929" s="36" t="s">
        <v>68</v>
      </c>
      <c r="D2929" s="36" t="s">
        <v>12</v>
      </c>
      <c r="E2929" s="37">
        <v>0.3</v>
      </c>
      <c r="F2929" s="34">
        <v>18.861499999999999</v>
      </c>
      <c r="G2929" s="34">
        <f t="shared" si="50"/>
        <v>5.6584499999999993</v>
      </c>
      <c r="H2929" s="39">
        <f>SUM(G2929:G2930)</f>
        <v>5.6584499999999993</v>
      </c>
      <c r="I2929" s="40"/>
      <c r="J2929" s="155">
        <v>0</v>
      </c>
    </row>
    <row r="2930" spans="1:10" ht="27" hidden="1" thickBot="1" x14ac:dyDescent="0.35">
      <c r="A2930" s="229"/>
      <c r="B2930" s="224"/>
      <c r="C2930" s="36" t="s">
        <v>902</v>
      </c>
      <c r="D2930" s="36" t="s">
        <v>20</v>
      </c>
      <c r="E2930" s="37">
        <v>1</v>
      </c>
      <c r="F2930" s="31">
        <v>0</v>
      </c>
      <c r="G2930" s="34">
        <f t="shared" si="50"/>
        <v>0</v>
      </c>
      <c r="H2930" s="35"/>
      <c r="I2930" s="31"/>
      <c r="J2930" s="155">
        <v>0</v>
      </c>
    </row>
    <row r="2931" spans="1:10" ht="15" hidden="1" thickBot="1" x14ac:dyDescent="0.35">
      <c r="A2931" s="230"/>
      <c r="B2931" s="225"/>
      <c r="C2931" s="36"/>
      <c r="D2931" s="36"/>
      <c r="E2931" s="37"/>
      <c r="F2931" s="31" t="s">
        <v>560</v>
      </c>
      <c r="G2931" s="34" t="str">
        <f t="shared" si="50"/>
        <v/>
      </c>
      <c r="H2931" s="35"/>
      <c r="I2931" s="31"/>
      <c r="J2931" s="155">
        <v>0</v>
      </c>
    </row>
    <row r="2932" spans="1:10" ht="15" hidden="1" thickBot="1" x14ac:dyDescent="0.35">
      <c r="A2932" s="226" t="s">
        <v>903</v>
      </c>
      <c r="B2932" s="223" t="e">
        <f>INDEX(#REF!,MATCH(Composições!A2932,#REF!,0),2)</f>
        <v>#REF!</v>
      </c>
      <c r="C2932" s="41"/>
      <c r="D2932" s="26" t="e">
        <f>TRIM(INDEX(#REF!,MATCH(Composições!A2932,#REF!,0),1))</f>
        <v>#REF!</v>
      </c>
      <c r="E2932" s="27"/>
      <c r="F2932" s="42" t="s">
        <v>560</v>
      </c>
      <c r="G2932" s="28" t="str">
        <f t="shared" si="50"/>
        <v/>
      </c>
      <c r="H2932" s="29"/>
      <c r="I2932" s="30"/>
      <c r="J2932" s="155">
        <v>0</v>
      </c>
    </row>
    <row r="2933" spans="1:10" ht="15" hidden="1" thickBot="1" x14ac:dyDescent="0.35">
      <c r="A2933" s="229"/>
      <c r="B2933" s="224"/>
      <c r="C2933" s="32"/>
      <c r="D2933" s="32"/>
      <c r="E2933" s="33"/>
      <c r="F2933" s="43" t="s">
        <v>560</v>
      </c>
      <c r="G2933" s="34" t="str">
        <f t="shared" si="50"/>
        <v/>
      </c>
      <c r="H2933" s="35"/>
      <c r="I2933" s="31"/>
      <c r="J2933" s="155">
        <v>0</v>
      </c>
    </row>
    <row r="2934" spans="1:10" ht="15" hidden="1" thickBot="1" x14ac:dyDescent="0.35">
      <c r="A2934" s="229"/>
      <c r="B2934" s="224"/>
      <c r="C2934" s="36" t="s">
        <v>68</v>
      </c>
      <c r="D2934" s="36" t="s">
        <v>12</v>
      </c>
      <c r="E2934" s="37">
        <v>0.2</v>
      </c>
      <c r="F2934" s="34">
        <v>18.861499999999999</v>
      </c>
      <c r="G2934" s="34">
        <f t="shared" si="50"/>
        <v>3.7723</v>
      </c>
      <c r="H2934" s="39">
        <f>SUM(G2934:G2935)</f>
        <v>3.7723</v>
      </c>
      <c r="I2934" s="40"/>
      <c r="J2934" s="155">
        <v>0</v>
      </c>
    </row>
    <row r="2935" spans="1:10" ht="27" hidden="1" thickBot="1" x14ac:dyDescent="0.35">
      <c r="A2935" s="229"/>
      <c r="B2935" s="224"/>
      <c r="C2935" s="36" t="s">
        <v>904</v>
      </c>
      <c r="D2935" s="36" t="s">
        <v>20</v>
      </c>
      <c r="E2935" s="37">
        <v>1</v>
      </c>
      <c r="F2935" s="31">
        <v>0</v>
      </c>
      <c r="G2935" s="34">
        <f t="shared" si="50"/>
        <v>0</v>
      </c>
      <c r="H2935" s="35"/>
      <c r="I2935" s="31"/>
      <c r="J2935" s="155">
        <v>0</v>
      </c>
    </row>
    <row r="2936" spans="1:10" ht="15" hidden="1" thickBot="1" x14ac:dyDescent="0.35">
      <c r="A2936" s="230"/>
      <c r="B2936" s="225"/>
      <c r="C2936" s="36"/>
      <c r="D2936" s="36"/>
      <c r="E2936" s="37"/>
      <c r="F2936" s="31" t="s">
        <v>560</v>
      </c>
      <c r="G2936" s="34" t="str">
        <f t="shared" si="50"/>
        <v/>
      </c>
      <c r="H2936" s="35"/>
      <c r="I2936" s="31"/>
      <c r="J2936" s="155">
        <v>0</v>
      </c>
    </row>
    <row r="2937" spans="1:10" ht="15" hidden="1" thickBot="1" x14ac:dyDescent="0.35">
      <c r="A2937" s="226" t="s">
        <v>905</v>
      </c>
      <c r="B2937" s="223" t="e">
        <f>INDEX(#REF!,MATCH(Composições!A2937,#REF!,0),2)</f>
        <v>#REF!</v>
      </c>
      <c r="C2937" s="41"/>
      <c r="D2937" s="26" t="e">
        <f>TRIM(INDEX(#REF!,MATCH(Composições!A2937,#REF!,0),1))</f>
        <v>#REF!</v>
      </c>
      <c r="E2937" s="27"/>
      <c r="F2937" s="42" t="s">
        <v>560</v>
      </c>
      <c r="G2937" s="28" t="str">
        <f t="shared" si="50"/>
        <v/>
      </c>
      <c r="H2937" s="29"/>
      <c r="I2937" s="30"/>
      <c r="J2937" s="155">
        <v>0</v>
      </c>
    </row>
    <row r="2938" spans="1:10" ht="15" hidden="1" thickBot="1" x14ac:dyDescent="0.35">
      <c r="A2938" s="229"/>
      <c r="B2938" s="224"/>
      <c r="C2938" s="32"/>
      <c r="D2938" s="32"/>
      <c r="E2938" s="33"/>
      <c r="F2938" s="43" t="s">
        <v>560</v>
      </c>
      <c r="G2938" s="34" t="str">
        <f t="shared" si="50"/>
        <v/>
      </c>
      <c r="H2938" s="35"/>
      <c r="I2938" s="31"/>
      <c r="J2938" s="155">
        <v>0</v>
      </c>
    </row>
    <row r="2939" spans="1:10" ht="15" hidden="1" thickBot="1" x14ac:dyDescent="0.35">
      <c r="A2939" s="229"/>
      <c r="B2939" s="224"/>
      <c r="C2939" s="36" t="s">
        <v>68</v>
      </c>
      <c r="D2939" s="36" t="s">
        <v>12</v>
      </c>
      <c r="E2939" s="37">
        <v>0.2</v>
      </c>
      <c r="F2939" s="34">
        <v>18.861499999999999</v>
      </c>
      <c r="G2939" s="34">
        <f t="shared" si="50"/>
        <v>3.7723</v>
      </c>
      <c r="H2939" s="39">
        <f>SUM(G2939:G2940)</f>
        <v>3.7723</v>
      </c>
      <c r="I2939" s="40"/>
      <c r="J2939" s="155">
        <v>0</v>
      </c>
    </row>
    <row r="2940" spans="1:10" ht="27" hidden="1" thickBot="1" x14ac:dyDescent="0.35">
      <c r="A2940" s="229"/>
      <c r="B2940" s="224"/>
      <c r="C2940" s="36" t="s">
        <v>906</v>
      </c>
      <c r="D2940" s="47" t="s">
        <v>20</v>
      </c>
      <c r="E2940" s="37">
        <v>1</v>
      </c>
      <c r="F2940" s="31">
        <v>0</v>
      </c>
      <c r="G2940" s="34">
        <f t="shared" si="50"/>
        <v>0</v>
      </c>
      <c r="H2940" s="35"/>
      <c r="I2940" s="31"/>
      <c r="J2940" s="155">
        <v>0</v>
      </c>
    </row>
    <row r="2941" spans="1:10" ht="15" hidden="1" thickBot="1" x14ac:dyDescent="0.35">
      <c r="A2941" s="230"/>
      <c r="B2941" s="225"/>
      <c r="C2941" s="36"/>
      <c r="D2941" s="36"/>
      <c r="E2941" s="37"/>
      <c r="F2941" s="31" t="s">
        <v>560</v>
      </c>
      <c r="G2941" s="34" t="str">
        <f t="shared" si="50"/>
        <v/>
      </c>
      <c r="H2941" s="35"/>
      <c r="I2941" s="31"/>
      <c r="J2941" s="155">
        <v>0</v>
      </c>
    </row>
    <row r="2942" spans="1:10" ht="15" hidden="1" thickBot="1" x14ac:dyDescent="0.35">
      <c r="A2942" s="226" t="s">
        <v>907</v>
      </c>
      <c r="B2942" s="223" t="e">
        <f>INDEX(#REF!,MATCH(Composições!A2942,#REF!,0),2)</f>
        <v>#REF!</v>
      </c>
      <c r="C2942" s="41"/>
      <c r="D2942" s="26" t="e">
        <f>TRIM(INDEX(#REF!,MATCH(Composições!A2942,#REF!,0),1))</f>
        <v>#REF!</v>
      </c>
      <c r="E2942" s="27"/>
      <c r="F2942" s="42" t="s">
        <v>560</v>
      </c>
      <c r="G2942" s="28" t="str">
        <f t="shared" si="50"/>
        <v/>
      </c>
      <c r="H2942" s="29"/>
      <c r="I2942" s="30"/>
      <c r="J2942" s="155">
        <v>0</v>
      </c>
    </row>
    <row r="2943" spans="1:10" ht="15" hidden="1" thickBot="1" x14ac:dyDescent="0.35">
      <c r="A2943" s="229"/>
      <c r="B2943" s="224"/>
      <c r="C2943" s="32"/>
      <c r="D2943" s="32"/>
      <c r="E2943" s="33"/>
      <c r="F2943" s="43" t="s">
        <v>560</v>
      </c>
      <c r="G2943" s="34" t="str">
        <f t="shared" si="50"/>
        <v/>
      </c>
      <c r="H2943" s="35"/>
      <c r="I2943" s="31"/>
      <c r="J2943" s="155">
        <v>0</v>
      </c>
    </row>
    <row r="2944" spans="1:10" ht="40.200000000000003" hidden="1" thickBot="1" x14ac:dyDescent="0.35">
      <c r="A2944" s="229"/>
      <c r="B2944" s="224"/>
      <c r="C2944" s="36" t="s">
        <v>1711</v>
      </c>
      <c r="D2944" s="47" t="s">
        <v>292</v>
      </c>
      <c r="E2944" s="37">
        <v>2.1960000000000002</v>
      </c>
      <c r="F2944" s="34">
        <v>0.28050000000000003</v>
      </c>
      <c r="G2944" s="34">
        <f t="shared" si="50"/>
        <v>0.61597800000000014</v>
      </c>
      <c r="H2944" s="39">
        <f>SUM(G2944:G2950)</f>
        <v>463.97893449999992</v>
      </c>
      <c r="I2944" s="40"/>
      <c r="J2944" s="155">
        <v>0</v>
      </c>
    </row>
    <row r="2945" spans="1:10" ht="15" hidden="1" thickBot="1" x14ac:dyDescent="0.35">
      <c r="A2945" s="229"/>
      <c r="B2945" s="224"/>
      <c r="C2945" s="36" t="s">
        <v>1237</v>
      </c>
      <c r="D2945" s="47" t="s">
        <v>515</v>
      </c>
      <c r="E2945" s="37">
        <v>3.4159999999999999</v>
      </c>
      <c r="F2945" s="34">
        <v>11.305</v>
      </c>
      <c r="G2945" s="34">
        <f t="shared" ref="G2945:G3008" si="51">IF(ISNUMBER(F2945),E2945*F2945,"")</f>
        <v>38.61788</v>
      </c>
      <c r="H2945" s="35"/>
      <c r="I2945" s="31"/>
      <c r="J2945" s="155">
        <v>0</v>
      </c>
    </row>
    <row r="2946" spans="1:10" ht="15" hidden="1" thickBot="1" x14ac:dyDescent="0.35">
      <c r="A2946" s="229"/>
      <c r="B2946" s="224"/>
      <c r="C2946" s="36" t="s">
        <v>876</v>
      </c>
      <c r="D2946" s="47" t="s">
        <v>939</v>
      </c>
      <c r="E2946" s="37">
        <v>0.96399999999999997</v>
      </c>
      <c r="F2946" s="31">
        <v>34.305999999999997</v>
      </c>
      <c r="G2946" s="34">
        <f t="shared" si="51"/>
        <v>33.070983999999996</v>
      </c>
      <c r="H2946" s="35"/>
      <c r="I2946" s="31"/>
      <c r="J2946" s="155">
        <v>0</v>
      </c>
    </row>
    <row r="2947" spans="1:10" ht="27" hidden="1" thickBot="1" x14ac:dyDescent="0.35">
      <c r="A2947" s="229"/>
      <c r="B2947" s="224"/>
      <c r="C2947" s="36" t="s">
        <v>1238</v>
      </c>
      <c r="D2947" s="47" t="s">
        <v>1035</v>
      </c>
      <c r="E2947" s="37">
        <v>1</v>
      </c>
      <c r="F2947" s="31">
        <v>330.90499999999997</v>
      </c>
      <c r="G2947" s="34">
        <f t="shared" si="51"/>
        <v>330.90499999999997</v>
      </c>
      <c r="H2947" s="35"/>
      <c r="I2947" s="31"/>
      <c r="J2947" s="155">
        <v>0</v>
      </c>
    </row>
    <row r="2948" spans="1:10" ht="27" hidden="1" thickBot="1" x14ac:dyDescent="0.35">
      <c r="A2948" s="229"/>
      <c r="B2948" s="224"/>
      <c r="C2948" s="36" t="s">
        <v>1786</v>
      </c>
      <c r="D2948" s="47" t="s">
        <v>515</v>
      </c>
      <c r="E2948" s="37">
        <v>2.992</v>
      </c>
      <c r="F2948" s="31">
        <v>1.7084999999999997</v>
      </c>
      <c r="G2948" s="34">
        <f t="shared" si="51"/>
        <v>5.1118319999999988</v>
      </c>
      <c r="H2948" s="35"/>
      <c r="I2948" s="31"/>
      <c r="J2948" s="155">
        <v>0</v>
      </c>
    </row>
    <row r="2949" spans="1:10" ht="15" hidden="1" thickBot="1" x14ac:dyDescent="0.35">
      <c r="A2949" s="229"/>
      <c r="B2949" s="224"/>
      <c r="C2949" s="36" t="s">
        <v>745</v>
      </c>
      <c r="D2949" s="47" t="s">
        <v>744</v>
      </c>
      <c r="E2949" s="37">
        <v>1.619</v>
      </c>
      <c r="F2949" s="31">
        <v>14.968499999999999</v>
      </c>
      <c r="G2949" s="34">
        <f t="shared" si="51"/>
        <v>24.234001499999998</v>
      </c>
      <c r="H2949" s="35"/>
      <c r="I2949" s="31"/>
      <c r="J2949" s="155">
        <v>0</v>
      </c>
    </row>
    <row r="2950" spans="1:10" ht="15" hidden="1" thickBot="1" x14ac:dyDescent="0.35">
      <c r="A2950" s="229"/>
      <c r="B2950" s="224"/>
      <c r="C2950" s="36" t="s">
        <v>1698</v>
      </c>
      <c r="D2950" s="47" t="s">
        <v>744</v>
      </c>
      <c r="E2950" s="37">
        <v>1.6659999999999999</v>
      </c>
      <c r="F2950" s="31">
        <v>18.861499999999999</v>
      </c>
      <c r="G2950" s="34">
        <f t="shared" si="51"/>
        <v>31.423258999999998</v>
      </c>
      <c r="H2950" s="35"/>
      <c r="I2950" s="31"/>
      <c r="J2950" s="155">
        <v>0</v>
      </c>
    </row>
    <row r="2951" spans="1:10" ht="15" hidden="1" thickBot="1" x14ac:dyDescent="0.35">
      <c r="A2951" s="230"/>
      <c r="B2951" s="225"/>
      <c r="C2951" s="36"/>
      <c r="D2951" s="36"/>
      <c r="E2951" s="37"/>
      <c r="F2951" s="31" t="s">
        <v>560</v>
      </c>
      <c r="G2951" s="34" t="str">
        <f t="shared" si="51"/>
        <v/>
      </c>
      <c r="H2951" s="35"/>
      <c r="I2951" s="31"/>
      <c r="J2951" s="155">
        <v>0</v>
      </c>
    </row>
    <row r="2952" spans="1:10" ht="15" hidden="1" thickBot="1" x14ac:dyDescent="0.35">
      <c r="A2952" s="226" t="s">
        <v>908</v>
      </c>
      <c r="B2952" s="223" t="e">
        <f>INDEX(#REF!,MATCH(Composições!A2952,#REF!,0),2)</f>
        <v>#REF!</v>
      </c>
      <c r="C2952" s="41"/>
      <c r="D2952" s="26" t="e">
        <f>TRIM(INDEX(#REF!,MATCH(Composições!A2952,#REF!,0),1))</f>
        <v>#REF!</v>
      </c>
      <c r="E2952" s="27"/>
      <c r="F2952" s="42" t="s">
        <v>560</v>
      </c>
      <c r="G2952" s="28" t="str">
        <f t="shared" si="51"/>
        <v/>
      </c>
      <c r="H2952" s="29"/>
      <c r="I2952" s="30"/>
      <c r="J2952" s="155">
        <v>0</v>
      </c>
    </row>
    <row r="2953" spans="1:10" ht="15" hidden="1" thickBot="1" x14ac:dyDescent="0.35">
      <c r="A2953" s="229"/>
      <c r="B2953" s="224"/>
      <c r="C2953" s="32"/>
      <c r="D2953" s="32"/>
      <c r="E2953" s="33"/>
      <c r="F2953" s="43" t="s">
        <v>560</v>
      </c>
      <c r="G2953" s="34" t="str">
        <f t="shared" si="51"/>
        <v/>
      </c>
      <c r="H2953" s="35"/>
      <c r="I2953" s="31"/>
      <c r="J2953" s="155">
        <v>0</v>
      </c>
    </row>
    <row r="2954" spans="1:10" ht="15" hidden="1" thickBot="1" x14ac:dyDescent="0.35">
      <c r="A2954" s="229"/>
      <c r="B2954" s="224"/>
      <c r="C2954" s="36" t="s">
        <v>68</v>
      </c>
      <c r="D2954" s="36" t="s">
        <v>12</v>
      </c>
      <c r="E2954" s="37">
        <v>0.2</v>
      </c>
      <c r="F2954" s="34">
        <v>18.861499999999999</v>
      </c>
      <c r="G2954" s="34">
        <f t="shared" si="51"/>
        <v>3.7723</v>
      </c>
      <c r="H2954" s="39">
        <f>SUM(G2954:G2955)</f>
        <v>3.7723</v>
      </c>
      <c r="I2954" s="40"/>
      <c r="J2954" s="155">
        <v>0</v>
      </c>
    </row>
    <row r="2955" spans="1:10" ht="27" hidden="1" thickBot="1" x14ac:dyDescent="0.35">
      <c r="A2955" s="229"/>
      <c r="B2955" s="224"/>
      <c r="C2955" s="36" t="s">
        <v>909</v>
      </c>
      <c r="D2955" s="36" t="s">
        <v>20</v>
      </c>
      <c r="E2955" s="37">
        <v>1</v>
      </c>
      <c r="F2955" s="31" t="s">
        <v>560</v>
      </c>
      <c r="G2955" s="34" t="str">
        <f t="shared" si="51"/>
        <v/>
      </c>
      <c r="H2955" s="35"/>
      <c r="I2955" s="31"/>
      <c r="J2955" s="155">
        <v>0</v>
      </c>
    </row>
    <row r="2956" spans="1:10" ht="15" hidden="1" thickBot="1" x14ac:dyDescent="0.35">
      <c r="A2956" s="230"/>
      <c r="B2956" s="225"/>
      <c r="C2956" s="36"/>
      <c r="D2956" s="36"/>
      <c r="E2956" s="37"/>
      <c r="F2956" s="31" t="s">
        <v>560</v>
      </c>
      <c r="G2956" s="34" t="str">
        <f t="shared" si="51"/>
        <v/>
      </c>
      <c r="H2956" s="35"/>
      <c r="I2956" s="31"/>
      <c r="J2956" s="155">
        <v>0</v>
      </c>
    </row>
    <row r="2957" spans="1:10" ht="15" hidden="1" thickBot="1" x14ac:dyDescent="0.35">
      <c r="A2957" s="226" t="s">
        <v>910</v>
      </c>
      <c r="B2957" s="223" t="e">
        <f>INDEX(#REF!,MATCH(Composições!A2957,#REF!,0),2)</f>
        <v>#REF!</v>
      </c>
      <c r="C2957" s="41"/>
      <c r="D2957" s="26" t="e">
        <f>TRIM(INDEX(#REF!,MATCH(Composições!A2957,#REF!,0),1))</f>
        <v>#REF!</v>
      </c>
      <c r="E2957" s="27"/>
      <c r="F2957" s="42" t="s">
        <v>560</v>
      </c>
      <c r="G2957" s="28" t="str">
        <f t="shared" si="51"/>
        <v/>
      </c>
      <c r="H2957" s="29"/>
      <c r="I2957" s="30"/>
      <c r="J2957" s="155">
        <v>0</v>
      </c>
    </row>
    <row r="2958" spans="1:10" ht="15" hidden="1" thickBot="1" x14ac:dyDescent="0.35">
      <c r="A2958" s="229"/>
      <c r="B2958" s="224"/>
      <c r="C2958" s="32"/>
      <c r="D2958" s="32"/>
      <c r="E2958" s="33"/>
      <c r="F2958" s="43" t="s">
        <v>560</v>
      </c>
      <c r="G2958" s="34" t="str">
        <f t="shared" si="51"/>
        <v/>
      </c>
      <c r="H2958" s="35"/>
      <c r="I2958" s="31"/>
      <c r="J2958" s="155">
        <v>0</v>
      </c>
    </row>
    <row r="2959" spans="1:10" ht="15" hidden="1" thickBot="1" x14ac:dyDescent="0.35">
      <c r="A2959" s="229"/>
      <c r="B2959" s="224"/>
      <c r="C2959" s="36" t="s">
        <v>68</v>
      </c>
      <c r="D2959" s="36" t="s">
        <v>12</v>
      </c>
      <c r="E2959" s="37">
        <v>0.2</v>
      </c>
      <c r="F2959" s="34">
        <v>18.861499999999999</v>
      </c>
      <c r="G2959" s="34">
        <f t="shared" si="51"/>
        <v>3.7723</v>
      </c>
      <c r="H2959" s="39">
        <f>SUM(G2959:G2960)</f>
        <v>3.7723</v>
      </c>
      <c r="I2959" s="40"/>
      <c r="J2959" s="155">
        <v>0</v>
      </c>
    </row>
    <row r="2960" spans="1:10" ht="27" hidden="1" thickBot="1" x14ac:dyDescent="0.35">
      <c r="A2960" s="229"/>
      <c r="B2960" s="224"/>
      <c r="C2960" s="36" t="s">
        <v>911</v>
      </c>
      <c r="D2960" s="36" t="s">
        <v>20</v>
      </c>
      <c r="E2960" s="37">
        <v>1</v>
      </c>
      <c r="F2960" s="31" t="s">
        <v>560</v>
      </c>
      <c r="G2960" s="34" t="str">
        <f t="shared" si="51"/>
        <v/>
      </c>
      <c r="H2960" s="35"/>
      <c r="I2960" s="31"/>
      <c r="J2960" s="155">
        <v>0</v>
      </c>
    </row>
    <row r="2961" spans="1:10" ht="15" hidden="1" thickBot="1" x14ac:dyDescent="0.35">
      <c r="A2961" s="230"/>
      <c r="B2961" s="225"/>
      <c r="C2961" s="36"/>
      <c r="D2961" s="36"/>
      <c r="E2961" s="37"/>
      <c r="F2961" s="31" t="s">
        <v>560</v>
      </c>
      <c r="G2961" s="34" t="str">
        <f t="shared" si="51"/>
        <v/>
      </c>
      <c r="H2961" s="35"/>
      <c r="I2961" s="31"/>
      <c r="J2961" s="155">
        <v>0</v>
      </c>
    </row>
    <row r="2962" spans="1:10" ht="15" hidden="1" thickBot="1" x14ac:dyDescent="0.35">
      <c r="A2962" s="226" t="s">
        <v>912</v>
      </c>
      <c r="B2962" s="223" t="e">
        <f>INDEX(#REF!,MATCH(Composições!A2962,#REF!,0),2)</f>
        <v>#REF!</v>
      </c>
      <c r="C2962" s="41"/>
      <c r="D2962" s="26" t="e">
        <f>TRIM(INDEX(#REF!,MATCH(Composições!A2962,#REF!,0),1))</f>
        <v>#REF!</v>
      </c>
      <c r="E2962" s="27"/>
      <c r="F2962" s="42" t="s">
        <v>560</v>
      </c>
      <c r="G2962" s="28" t="str">
        <f t="shared" si="51"/>
        <v/>
      </c>
      <c r="H2962" s="29"/>
      <c r="I2962" s="30"/>
      <c r="J2962" s="155">
        <v>0</v>
      </c>
    </row>
    <row r="2963" spans="1:10" ht="15" hidden="1" thickBot="1" x14ac:dyDescent="0.35">
      <c r="A2963" s="229"/>
      <c r="B2963" s="224"/>
      <c r="C2963" s="32"/>
      <c r="D2963" s="32"/>
      <c r="E2963" s="33"/>
      <c r="F2963" s="43" t="s">
        <v>560</v>
      </c>
      <c r="G2963" s="34" t="str">
        <f t="shared" si="51"/>
        <v/>
      </c>
      <c r="H2963" s="35"/>
      <c r="I2963" s="31"/>
      <c r="J2963" s="155">
        <v>0</v>
      </c>
    </row>
    <row r="2964" spans="1:10" ht="15" hidden="1" thickBot="1" x14ac:dyDescent="0.35">
      <c r="A2964" s="229"/>
      <c r="B2964" s="224"/>
      <c r="C2964" s="36" t="s">
        <v>68</v>
      </c>
      <c r="D2964" s="36" t="s">
        <v>12</v>
      </c>
      <c r="E2964" s="37">
        <v>0.2</v>
      </c>
      <c r="F2964" s="34">
        <v>18.861499999999999</v>
      </c>
      <c r="G2964" s="34">
        <f t="shared" si="51"/>
        <v>3.7723</v>
      </c>
      <c r="H2964" s="39">
        <f>SUM(G2964:G2965)</f>
        <v>3.7723</v>
      </c>
      <c r="I2964" s="40"/>
      <c r="J2964" s="155">
        <v>0</v>
      </c>
    </row>
    <row r="2965" spans="1:10" ht="27" hidden="1" thickBot="1" x14ac:dyDescent="0.35">
      <c r="A2965" s="229"/>
      <c r="B2965" s="224"/>
      <c r="C2965" s="36" t="s">
        <v>913</v>
      </c>
      <c r="D2965" s="36" t="s">
        <v>20</v>
      </c>
      <c r="E2965" s="37">
        <v>1</v>
      </c>
      <c r="F2965" s="31" t="s">
        <v>560</v>
      </c>
      <c r="G2965" s="34" t="str">
        <f t="shared" si="51"/>
        <v/>
      </c>
      <c r="H2965" s="35"/>
      <c r="I2965" s="31"/>
      <c r="J2965" s="155">
        <v>0</v>
      </c>
    </row>
    <row r="2966" spans="1:10" ht="15" hidden="1" thickBot="1" x14ac:dyDescent="0.35">
      <c r="A2966" s="230"/>
      <c r="B2966" s="225"/>
      <c r="C2966" s="36"/>
      <c r="D2966" s="36"/>
      <c r="E2966" s="37"/>
      <c r="F2966" s="31" t="s">
        <v>560</v>
      </c>
      <c r="G2966" s="34" t="str">
        <f t="shared" si="51"/>
        <v/>
      </c>
      <c r="H2966" s="35"/>
      <c r="I2966" s="31"/>
      <c r="J2966" s="155">
        <v>0</v>
      </c>
    </row>
    <row r="2967" spans="1:10" ht="15" hidden="1" thickBot="1" x14ac:dyDescent="0.35">
      <c r="A2967" s="226" t="s">
        <v>914</v>
      </c>
      <c r="B2967" s="223" t="e">
        <f>INDEX(#REF!,MATCH(Composições!A2967,#REF!,0),2)</f>
        <v>#REF!</v>
      </c>
      <c r="C2967" s="41"/>
      <c r="D2967" s="26" t="e">
        <f>TRIM(INDEX(#REF!,MATCH(Composições!A2967,#REF!,0),1))</f>
        <v>#REF!</v>
      </c>
      <c r="E2967" s="27"/>
      <c r="F2967" s="42" t="s">
        <v>560</v>
      </c>
      <c r="G2967" s="28" t="str">
        <f t="shared" si="51"/>
        <v/>
      </c>
      <c r="H2967" s="29"/>
      <c r="I2967" s="30"/>
      <c r="J2967" s="155">
        <v>0</v>
      </c>
    </row>
    <row r="2968" spans="1:10" ht="15" hidden="1" thickBot="1" x14ac:dyDescent="0.35">
      <c r="A2968" s="229"/>
      <c r="B2968" s="224"/>
      <c r="C2968" s="32"/>
      <c r="D2968" s="32"/>
      <c r="E2968" s="33"/>
      <c r="F2968" s="43" t="s">
        <v>560</v>
      </c>
      <c r="G2968" s="34" t="str">
        <f t="shared" si="51"/>
        <v/>
      </c>
      <c r="H2968" s="35"/>
      <c r="I2968" s="31"/>
      <c r="J2968" s="155">
        <v>0</v>
      </c>
    </row>
    <row r="2969" spans="1:10" ht="15" hidden="1" thickBot="1" x14ac:dyDescent="0.35">
      <c r="A2969" s="229"/>
      <c r="B2969" s="224"/>
      <c r="C2969" s="36" t="s">
        <v>68</v>
      </c>
      <c r="D2969" s="36" t="s">
        <v>12</v>
      </c>
      <c r="E2969" s="37">
        <v>1.5</v>
      </c>
      <c r="F2969" s="34">
        <v>18.861499999999999</v>
      </c>
      <c r="G2969" s="34">
        <f t="shared" si="51"/>
        <v>28.292249999999999</v>
      </c>
      <c r="H2969" s="39">
        <f>SUM(G2969:G2970)</f>
        <v>28.292249999999999</v>
      </c>
      <c r="I2969" s="40"/>
      <c r="J2969" s="155">
        <v>0</v>
      </c>
    </row>
    <row r="2970" spans="1:10" ht="53.4" hidden="1" thickBot="1" x14ac:dyDescent="0.35">
      <c r="A2970" s="229"/>
      <c r="B2970" s="224"/>
      <c r="C2970" s="150" t="s">
        <v>915</v>
      </c>
      <c r="D2970" s="36" t="s">
        <v>20</v>
      </c>
      <c r="E2970" s="37">
        <v>1</v>
      </c>
      <c r="F2970" s="31" t="s">
        <v>560</v>
      </c>
      <c r="G2970" s="34" t="str">
        <f t="shared" si="51"/>
        <v/>
      </c>
      <c r="H2970" s="35"/>
      <c r="I2970" s="31"/>
      <c r="J2970" s="155">
        <v>0</v>
      </c>
    </row>
    <row r="2971" spans="1:10" ht="15" hidden="1" thickBot="1" x14ac:dyDescent="0.35">
      <c r="A2971" s="230"/>
      <c r="B2971" s="225"/>
      <c r="C2971" s="36"/>
      <c r="D2971" s="36"/>
      <c r="E2971" s="37"/>
      <c r="F2971" s="31" t="s">
        <v>560</v>
      </c>
      <c r="G2971" s="34" t="str">
        <f t="shared" si="51"/>
        <v/>
      </c>
      <c r="H2971" s="35"/>
      <c r="I2971" s="31"/>
      <c r="J2971" s="155">
        <v>0</v>
      </c>
    </row>
    <row r="2972" spans="1:10" ht="15" hidden="1" thickBot="1" x14ac:dyDescent="0.35">
      <c r="A2972" s="226" t="s">
        <v>916</v>
      </c>
      <c r="B2972" s="223" t="e">
        <f>INDEX(#REF!,MATCH(Composições!A2972,#REF!,0),2)</f>
        <v>#REF!</v>
      </c>
      <c r="C2972" s="41"/>
      <c r="D2972" s="26" t="e">
        <f>TRIM(INDEX(#REF!,MATCH(Composições!A2972,#REF!,0),1))</f>
        <v>#REF!</v>
      </c>
      <c r="E2972" s="27"/>
      <c r="F2972" s="42" t="s">
        <v>560</v>
      </c>
      <c r="G2972" s="28" t="str">
        <f t="shared" si="51"/>
        <v/>
      </c>
      <c r="H2972" s="29"/>
      <c r="I2972" s="30"/>
      <c r="J2972" s="155">
        <v>0</v>
      </c>
    </row>
    <row r="2973" spans="1:10" ht="15" hidden="1" thickBot="1" x14ac:dyDescent="0.35">
      <c r="A2973" s="229"/>
      <c r="B2973" s="224"/>
      <c r="C2973" s="32"/>
      <c r="D2973" s="32"/>
      <c r="E2973" s="33"/>
      <c r="F2973" s="43" t="s">
        <v>560</v>
      </c>
      <c r="G2973" s="34" t="str">
        <f t="shared" si="51"/>
        <v/>
      </c>
      <c r="H2973" s="35"/>
      <c r="I2973" s="31"/>
      <c r="J2973" s="155">
        <v>0</v>
      </c>
    </row>
    <row r="2974" spans="1:10" ht="15" hidden="1" thickBot="1" x14ac:dyDescent="0.35">
      <c r="A2974" s="229"/>
      <c r="B2974" s="224"/>
      <c r="C2974" s="36" t="s">
        <v>68</v>
      </c>
      <c r="D2974" s="36" t="s">
        <v>12</v>
      </c>
      <c r="E2974" s="37">
        <v>1.5</v>
      </c>
      <c r="F2974" s="34">
        <v>18.861499999999999</v>
      </c>
      <c r="G2974" s="34">
        <f t="shared" si="51"/>
        <v>28.292249999999999</v>
      </c>
      <c r="H2974" s="39">
        <f>SUM(G2974:G2975)</f>
        <v>28.292249999999999</v>
      </c>
      <c r="I2974" s="40"/>
      <c r="J2974" s="155">
        <v>0</v>
      </c>
    </row>
    <row r="2975" spans="1:10" ht="15" hidden="1" thickBot="1" x14ac:dyDescent="0.35">
      <c r="A2975" s="229"/>
      <c r="B2975" s="224"/>
      <c r="C2975" s="36" t="s">
        <v>917</v>
      </c>
      <c r="D2975" s="36" t="s">
        <v>20</v>
      </c>
      <c r="E2975" s="37">
        <v>1</v>
      </c>
      <c r="F2975" s="31" t="s">
        <v>560</v>
      </c>
      <c r="G2975" s="34" t="str">
        <f t="shared" si="51"/>
        <v/>
      </c>
      <c r="H2975" s="35"/>
      <c r="I2975" s="31"/>
      <c r="J2975" s="155">
        <v>0</v>
      </c>
    </row>
    <row r="2976" spans="1:10" ht="15" hidden="1" thickBot="1" x14ac:dyDescent="0.35">
      <c r="A2976" s="230"/>
      <c r="B2976" s="225"/>
      <c r="C2976" s="36"/>
      <c r="D2976" s="36"/>
      <c r="E2976" s="37"/>
      <c r="F2976" s="31" t="s">
        <v>560</v>
      </c>
      <c r="G2976" s="34" t="str">
        <f t="shared" si="51"/>
        <v/>
      </c>
      <c r="H2976" s="35"/>
      <c r="I2976" s="31"/>
      <c r="J2976" s="155">
        <v>0</v>
      </c>
    </row>
    <row r="2977" spans="1:10" ht="15" hidden="1" thickBot="1" x14ac:dyDescent="0.35">
      <c r="A2977" s="226" t="s">
        <v>918</v>
      </c>
      <c r="B2977" s="223" t="e">
        <f>INDEX(#REF!,MATCH(Composições!A2977,#REF!,0),2)</f>
        <v>#REF!</v>
      </c>
      <c r="C2977" s="41"/>
      <c r="D2977" s="26" t="e">
        <f>TRIM(INDEX(#REF!,MATCH(Composições!A2977,#REF!,0),1))</f>
        <v>#REF!</v>
      </c>
      <c r="E2977" s="27"/>
      <c r="F2977" s="42" t="s">
        <v>560</v>
      </c>
      <c r="G2977" s="28" t="str">
        <f t="shared" si="51"/>
        <v/>
      </c>
      <c r="H2977" s="29"/>
      <c r="I2977" s="30"/>
      <c r="J2977" s="155">
        <v>0</v>
      </c>
    </row>
    <row r="2978" spans="1:10" ht="15" hidden="1" thickBot="1" x14ac:dyDescent="0.35">
      <c r="A2978" s="229"/>
      <c r="B2978" s="224"/>
      <c r="C2978" s="32"/>
      <c r="D2978" s="32"/>
      <c r="E2978" s="33"/>
      <c r="F2978" s="43" t="s">
        <v>560</v>
      </c>
      <c r="G2978" s="34" t="str">
        <f t="shared" si="51"/>
        <v/>
      </c>
      <c r="H2978" s="35"/>
      <c r="I2978" s="31"/>
      <c r="J2978" s="155">
        <v>0</v>
      </c>
    </row>
    <row r="2979" spans="1:10" ht="15" hidden="1" thickBot="1" x14ac:dyDescent="0.35">
      <c r="A2979" s="229"/>
      <c r="B2979" s="224"/>
      <c r="C2979" s="36" t="s">
        <v>68</v>
      </c>
      <c r="D2979" s="36" t="s">
        <v>12</v>
      </c>
      <c r="E2979" s="37">
        <v>1</v>
      </c>
      <c r="F2979" s="34">
        <v>18.861499999999999</v>
      </c>
      <c r="G2979" s="34">
        <f t="shared" si="51"/>
        <v>18.861499999999999</v>
      </c>
      <c r="H2979" s="39">
        <f>SUM(G2979:G2980)</f>
        <v>18.861499999999999</v>
      </c>
      <c r="I2979" s="40"/>
      <c r="J2979" s="155">
        <v>0</v>
      </c>
    </row>
    <row r="2980" spans="1:10" ht="27" hidden="1" thickBot="1" x14ac:dyDescent="0.35">
      <c r="A2980" s="229"/>
      <c r="B2980" s="224"/>
      <c r="C2980" s="36" t="s">
        <v>919</v>
      </c>
      <c r="D2980" s="36" t="s">
        <v>20</v>
      </c>
      <c r="E2980" s="37">
        <v>1</v>
      </c>
      <c r="F2980" s="31" t="s">
        <v>560</v>
      </c>
      <c r="G2980" s="34" t="str">
        <f t="shared" si="51"/>
        <v/>
      </c>
      <c r="H2980" s="35"/>
      <c r="I2980" s="31"/>
      <c r="J2980" s="155">
        <v>0</v>
      </c>
    </row>
    <row r="2981" spans="1:10" ht="15" hidden="1" thickBot="1" x14ac:dyDescent="0.35">
      <c r="A2981" s="230"/>
      <c r="B2981" s="225"/>
      <c r="C2981" s="36"/>
      <c r="D2981" s="36"/>
      <c r="E2981" s="37"/>
      <c r="F2981" s="31" t="s">
        <v>560</v>
      </c>
      <c r="G2981" s="34" t="str">
        <f t="shared" si="51"/>
        <v/>
      </c>
      <c r="H2981" s="35"/>
      <c r="I2981" s="31"/>
      <c r="J2981" s="155">
        <v>0</v>
      </c>
    </row>
    <row r="2982" spans="1:10" ht="15" hidden="1" thickBot="1" x14ac:dyDescent="0.35">
      <c r="A2982" s="226" t="s">
        <v>920</v>
      </c>
      <c r="B2982" s="223" t="e">
        <f>INDEX(#REF!,MATCH(Composições!A2982,#REF!,0),2)</f>
        <v>#REF!</v>
      </c>
      <c r="C2982" s="41"/>
      <c r="D2982" s="26" t="e">
        <f>TRIM(INDEX(#REF!,MATCH(Composições!A2982,#REF!,0),1))</f>
        <v>#REF!</v>
      </c>
      <c r="E2982" s="27"/>
      <c r="F2982" s="42" t="s">
        <v>560</v>
      </c>
      <c r="G2982" s="28" t="str">
        <f t="shared" si="51"/>
        <v/>
      </c>
      <c r="H2982" s="29"/>
      <c r="I2982" s="30"/>
      <c r="J2982" s="155">
        <v>0</v>
      </c>
    </row>
    <row r="2983" spans="1:10" ht="15" hidden="1" thickBot="1" x14ac:dyDescent="0.35">
      <c r="A2983" s="229"/>
      <c r="B2983" s="224"/>
      <c r="C2983" s="32"/>
      <c r="D2983" s="32"/>
      <c r="E2983" s="33"/>
      <c r="F2983" s="43" t="s">
        <v>560</v>
      </c>
      <c r="G2983" s="34" t="str">
        <f t="shared" si="51"/>
        <v/>
      </c>
      <c r="H2983" s="35"/>
      <c r="I2983" s="31"/>
      <c r="J2983" s="155">
        <v>0</v>
      </c>
    </row>
    <row r="2984" spans="1:10" ht="15" hidden="1" thickBot="1" x14ac:dyDescent="0.35">
      <c r="A2984" s="229"/>
      <c r="B2984" s="224"/>
      <c r="C2984" s="36" t="s">
        <v>68</v>
      </c>
      <c r="D2984" s="36" t="s">
        <v>12</v>
      </c>
      <c r="E2984" s="37">
        <v>0.1</v>
      </c>
      <c r="F2984" s="34">
        <v>18.861499999999999</v>
      </c>
      <c r="G2984" s="34">
        <f t="shared" si="51"/>
        <v>1.88615</v>
      </c>
      <c r="H2984" s="39">
        <f>SUM(G2984:G2985)</f>
        <v>1.88615</v>
      </c>
      <c r="I2984" s="40"/>
      <c r="J2984" s="155">
        <v>0</v>
      </c>
    </row>
    <row r="2985" spans="1:10" ht="27" hidden="1" thickBot="1" x14ac:dyDescent="0.35">
      <c r="A2985" s="229"/>
      <c r="B2985" s="224"/>
      <c r="C2985" s="36" t="s">
        <v>921</v>
      </c>
      <c r="D2985" s="36" t="s">
        <v>20</v>
      </c>
      <c r="E2985" s="37">
        <v>1</v>
      </c>
      <c r="F2985" s="31" t="s">
        <v>560</v>
      </c>
      <c r="G2985" s="34" t="str">
        <f t="shared" si="51"/>
        <v/>
      </c>
      <c r="H2985" s="35"/>
      <c r="I2985" s="31"/>
      <c r="J2985" s="155">
        <v>0</v>
      </c>
    </row>
    <row r="2986" spans="1:10" ht="15" hidden="1" thickBot="1" x14ac:dyDescent="0.35">
      <c r="A2986" s="230"/>
      <c r="B2986" s="225"/>
      <c r="C2986" s="36"/>
      <c r="D2986" s="36"/>
      <c r="E2986" s="37"/>
      <c r="F2986" s="31" t="s">
        <v>560</v>
      </c>
      <c r="G2986" s="34" t="str">
        <f t="shared" si="51"/>
        <v/>
      </c>
      <c r="H2986" s="35"/>
      <c r="I2986" s="31"/>
      <c r="J2986" s="155">
        <v>0</v>
      </c>
    </row>
    <row r="2987" spans="1:10" ht="15" hidden="1" thickBot="1" x14ac:dyDescent="0.35">
      <c r="A2987" s="226" t="s">
        <v>922</v>
      </c>
      <c r="B2987" s="223" t="e">
        <f>INDEX(#REF!,MATCH(Composições!A2987,#REF!,0),2)</f>
        <v>#REF!</v>
      </c>
      <c r="C2987" s="41"/>
      <c r="D2987" s="26" t="e">
        <f>TRIM(INDEX(#REF!,MATCH(Composições!A2987,#REF!,0),1))</f>
        <v>#REF!</v>
      </c>
      <c r="E2987" s="27"/>
      <c r="F2987" s="42" t="s">
        <v>560</v>
      </c>
      <c r="G2987" s="28" t="str">
        <f t="shared" si="51"/>
        <v/>
      </c>
      <c r="H2987" s="29"/>
      <c r="I2987" s="30"/>
      <c r="J2987" s="155">
        <v>0</v>
      </c>
    </row>
    <row r="2988" spans="1:10" ht="15" hidden="1" thickBot="1" x14ac:dyDescent="0.35">
      <c r="A2988" s="229"/>
      <c r="B2988" s="224"/>
      <c r="C2988" s="32"/>
      <c r="D2988" s="32"/>
      <c r="E2988" s="33"/>
      <c r="F2988" s="43" t="s">
        <v>560</v>
      </c>
      <c r="G2988" s="34" t="str">
        <f t="shared" si="51"/>
        <v/>
      </c>
      <c r="H2988" s="35"/>
      <c r="I2988" s="31"/>
      <c r="J2988" s="155">
        <v>0</v>
      </c>
    </row>
    <row r="2989" spans="1:10" ht="15" hidden="1" thickBot="1" x14ac:dyDescent="0.35">
      <c r="A2989" s="229"/>
      <c r="B2989" s="224"/>
      <c r="C2989" s="36" t="s">
        <v>68</v>
      </c>
      <c r="D2989" s="36" t="s">
        <v>12</v>
      </c>
      <c r="E2989" s="37">
        <v>0.2</v>
      </c>
      <c r="F2989" s="34">
        <v>18.861499999999999</v>
      </c>
      <c r="G2989" s="34">
        <f t="shared" si="51"/>
        <v>3.7723</v>
      </c>
      <c r="H2989" s="39">
        <f>SUM(G2989:G2990)</f>
        <v>3.7723</v>
      </c>
      <c r="I2989" s="40"/>
      <c r="J2989" s="155">
        <v>0</v>
      </c>
    </row>
    <row r="2990" spans="1:10" ht="27" hidden="1" thickBot="1" x14ac:dyDescent="0.35">
      <c r="A2990" s="229"/>
      <c r="B2990" s="224"/>
      <c r="C2990" s="36" t="s">
        <v>923</v>
      </c>
      <c r="D2990" s="36" t="s">
        <v>20</v>
      </c>
      <c r="E2990" s="37">
        <v>1</v>
      </c>
      <c r="F2990" s="31" t="s">
        <v>560</v>
      </c>
      <c r="G2990" s="34" t="str">
        <f t="shared" si="51"/>
        <v/>
      </c>
      <c r="H2990" s="35"/>
      <c r="I2990" s="31"/>
      <c r="J2990" s="155">
        <v>0</v>
      </c>
    </row>
    <row r="2991" spans="1:10" ht="15" hidden="1" thickBot="1" x14ac:dyDescent="0.35">
      <c r="A2991" s="230"/>
      <c r="B2991" s="225"/>
      <c r="C2991" s="36"/>
      <c r="D2991" s="36"/>
      <c r="E2991" s="37"/>
      <c r="F2991" s="31" t="s">
        <v>560</v>
      </c>
      <c r="G2991" s="34" t="str">
        <f t="shared" si="51"/>
        <v/>
      </c>
      <c r="H2991" s="35"/>
      <c r="I2991" s="31"/>
      <c r="J2991" s="155">
        <v>0</v>
      </c>
    </row>
    <row r="2992" spans="1:10" ht="15" hidden="1" thickBot="1" x14ac:dyDescent="0.35">
      <c r="A2992" s="226" t="s">
        <v>924</v>
      </c>
      <c r="B2992" s="223" t="e">
        <f>INDEX(#REF!,MATCH(Composições!A2992,#REF!,0),2)</f>
        <v>#REF!</v>
      </c>
      <c r="C2992" s="41"/>
      <c r="D2992" s="26" t="e">
        <f>TRIM(INDEX(#REF!,MATCH(Composições!A2992,#REF!,0),1))</f>
        <v>#REF!</v>
      </c>
      <c r="E2992" s="27"/>
      <c r="F2992" s="42" t="s">
        <v>560</v>
      </c>
      <c r="G2992" s="28" t="str">
        <f t="shared" si="51"/>
        <v/>
      </c>
      <c r="H2992" s="29"/>
      <c r="I2992" s="30"/>
      <c r="J2992" s="155">
        <v>0</v>
      </c>
    </row>
    <row r="2993" spans="1:10" ht="15" hidden="1" thickBot="1" x14ac:dyDescent="0.35">
      <c r="A2993" s="229"/>
      <c r="B2993" s="224"/>
      <c r="C2993" s="32"/>
      <c r="D2993" s="32"/>
      <c r="E2993" s="33"/>
      <c r="F2993" s="43" t="s">
        <v>560</v>
      </c>
      <c r="G2993" s="34" t="str">
        <f t="shared" si="51"/>
        <v/>
      </c>
      <c r="H2993" s="35"/>
      <c r="I2993" s="31"/>
      <c r="J2993" s="155">
        <v>0</v>
      </c>
    </row>
    <row r="2994" spans="1:10" ht="15" hidden="1" thickBot="1" x14ac:dyDescent="0.35">
      <c r="A2994" s="229"/>
      <c r="B2994" s="224"/>
      <c r="C2994" s="36" t="s">
        <v>68</v>
      </c>
      <c r="D2994" s="36" t="s">
        <v>12</v>
      </c>
      <c r="E2994" s="37">
        <v>0.2</v>
      </c>
      <c r="F2994" s="34">
        <v>18.861499999999999</v>
      </c>
      <c r="G2994" s="34">
        <f t="shared" si="51"/>
        <v>3.7723</v>
      </c>
      <c r="H2994" s="39">
        <f>SUM(G2994:G2995)</f>
        <v>3.7723</v>
      </c>
      <c r="I2994" s="40"/>
      <c r="J2994" s="155">
        <v>0</v>
      </c>
    </row>
    <row r="2995" spans="1:10" ht="27" hidden="1" thickBot="1" x14ac:dyDescent="0.35">
      <c r="A2995" s="229"/>
      <c r="B2995" s="224"/>
      <c r="C2995" s="36" t="s">
        <v>925</v>
      </c>
      <c r="D2995" s="36" t="s">
        <v>20</v>
      </c>
      <c r="E2995" s="37">
        <v>1</v>
      </c>
      <c r="F2995" s="31" t="s">
        <v>560</v>
      </c>
      <c r="G2995" s="34" t="str">
        <f t="shared" si="51"/>
        <v/>
      </c>
      <c r="H2995" s="35"/>
      <c r="I2995" s="31"/>
      <c r="J2995" s="155">
        <v>0</v>
      </c>
    </row>
    <row r="2996" spans="1:10" ht="15" hidden="1" thickBot="1" x14ac:dyDescent="0.35">
      <c r="A2996" s="230"/>
      <c r="B2996" s="225"/>
      <c r="C2996" s="36"/>
      <c r="D2996" s="36"/>
      <c r="E2996" s="37"/>
      <c r="F2996" s="31" t="s">
        <v>560</v>
      </c>
      <c r="G2996" s="34" t="str">
        <f t="shared" si="51"/>
        <v/>
      </c>
      <c r="H2996" s="35"/>
      <c r="I2996" s="31"/>
      <c r="J2996" s="155">
        <v>0</v>
      </c>
    </row>
    <row r="2997" spans="1:10" ht="15" hidden="1" thickBot="1" x14ac:dyDescent="0.35">
      <c r="A2997" s="226" t="s">
        <v>926</v>
      </c>
      <c r="B2997" s="223" t="e">
        <f>INDEX(#REF!,MATCH(Composições!A2997,#REF!,0),2)</f>
        <v>#REF!</v>
      </c>
      <c r="C2997" s="41"/>
      <c r="D2997" s="26" t="e">
        <f>TRIM(INDEX(#REF!,MATCH(Composições!A2997,#REF!,0),1))</f>
        <v>#REF!</v>
      </c>
      <c r="E2997" s="27"/>
      <c r="F2997" s="42" t="s">
        <v>560</v>
      </c>
      <c r="G2997" s="28" t="str">
        <f t="shared" si="51"/>
        <v/>
      </c>
      <c r="H2997" s="29"/>
      <c r="I2997" s="30"/>
      <c r="J2997" s="155">
        <v>0</v>
      </c>
    </row>
    <row r="2998" spans="1:10" ht="15" hidden="1" thickBot="1" x14ac:dyDescent="0.35">
      <c r="A2998" s="227"/>
      <c r="B2998" s="224"/>
      <c r="C2998" s="32"/>
      <c r="D2998" s="32"/>
      <c r="E2998" s="33"/>
      <c r="F2998" s="43" t="s">
        <v>560</v>
      </c>
      <c r="G2998" s="34" t="str">
        <f t="shared" si="51"/>
        <v/>
      </c>
      <c r="H2998" s="35"/>
      <c r="I2998" s="31"/>
      <c r="J2998" s="155">
        <v>0</v>
      </c>
    </row>
    <row r="2999" spans="1:10" ht="15" hidden="1" thickBot="1" x14ac:dyDescent="0.35">
      <c r="A2999" s="227"/>
      <c r="B2999" s="224"/>
      <c r="C2999" s="36" t="s">
        <v>68</v>
      </c>
      <c r="D2999" s="36" t="s">
        <v>12</v>
      </c>
      <c r="E2999" s="37">
        <v>0.25</v>
      </c>
      <c r="F2999" s="34">
        <v>18.861499999999999</v>
      </c>
      <c r="G2999" s="34">
        <f t="shared" si="51"/>
        <v>4.7153749999999999</v>
      </c>
      <c r="H2999" s="39">
        <f>SUM(G2999:G3000)</f>
        <v>33.978392999999997</v>
      </c>
      <c r="I2999" s="40"/>
      <c r="J2999" s="155">
        <v>0</v>
      </c>
    </row>
    <row r="3000" spans="1:10" ht="15" hidden="1" thickBot="1" x14ac:dyDescent="0.35">
      <c r="A3000" s="227"/>
      <c r="B3000" s="224"/>
      <c r="C3000" s="36" t="s">
        <v>876</v>
      </c>
      <c r="D3000" s="36" t="s">
        <v>42</v>
      </c>
      <c r="E3000" s="37">
        <v>0.85299999999999998</v>
      </c>
      <c r="F3000" s="31">
        <v>34.305999999999997</v>
      </c>
      <c r="G3000" s="34">
        <f t="shared" si="51"/>
        <v>29.263017999999999</v>
      </c>
      <c r="H3000" s="35"/>
      <c r="I3000" s="31"/>
      <c r="J3000" s="155">
        <v>0</v>
      </c>
    </row>
    <row r="3001" spans="1:10" ht="15" hidden="1" thickBot="1" x14ac:dyDescent="0.35">
      <c r="A3001" s="227"/>
      <c r="B3001" s="224"/>
      <c r="C3001" s="36"/>
      <c r="D3001" s="47"/>
      <c r="E3001" s="37"/>
      <c r="F3001" s="31" t="s">
        <v>560</v>
      </c>
      <c r="G3001" s="34" t="str">
        <f t="shared" si="51"/>
        <v/>
      </c>
      <c r="H3001" s="35"/>
      <c r="I3001" s="31"/>
      <c r="J3001" s="155">
        <v>0</v>
      </c>
    </row>
    <row r="3002" spans="1:10" ht="27" hidden="1" thickBot="1" x14ac:dyDescent="0.35">
      <c r="A3002" s="227"/>
      <c r="B3002" s="224"/>
      <c r="C3002" s="48" t="s">
        <v>927</v>
      </c>
      <c r="D3002" s="47"/>
      <c r="E3002" s="37"/>
      <c r="F3002" s="31" t="s">
        <v>560</v>
      </c>
      <c r="G3002" s="34" t="str">
        <f t="shared" si="51"/>
        <v/>
      </c>
      <c r="H3002" s="35"/>
      <c r="I3002" s="31"/>
      <c r="J3002" s="155">
        <v>0</v>
      </c>
    </row>
    <row r="3003" spans="1:10" ht="27" hidden="1" thickBot="1" x14ac:dyDescent="0.35">
      <c r="A3003" s="227"/>
      <c r="B3003" s="224"/>
      <c r="C3003" s="52" t="s">
        <v>881</v>
      </c>
      <c r="D3003" s="47"/>
      <c r="E3003" s="37"/>
      <c r="F3003" s="31" t="s">
        <v>560</v>
      </c>
      <c r="G3003" s="34" t="str">
        <f t="shared" si="51"/>
        <v/>
      </c>
      <c r="H3003" s="35"/>
      <c r="I3003" s="31"/>
      <c r="J3003" s="155">
        <v>0</v>
      </c>
    </row>
    <row r="3004" spans="1:10" ht="15" hidden="1" thickBot="1" x14ac:dyDescent="0.35">
      <c r="A3004" s="228"/>
      <c r="B3004" s="225"/>
      <c r="C3004" s="36"/>
      <c r="D3004" s="36"/>
      <c r="E3004" s="37"/>
      <c r="F3004" s="31" t="s">
        <v>560</v>
      </c>
      <c r="G3004" s="34" t="str">
        <f t="shared" si="51"/>
        <v/>
      </c>
      <c r="H3004" s="35"/>
      <c r="I3004" s="31"/>
      <c r="J3004" s="155">
        <v>0</v>
      </c>
    </row>
    <row r="3005" spans="1:10" ht="15" hidden="1" thickBot="1" x14ac:dyDescent="0.35">
      <c r="A3005" s="226" t="s">
        <v>928</v>
      </c>
      <c r="B3005" s="223" t="e">
        <f>INDEX(#REF!,MATCH(Composições!A3005,#REF!,0),2)</f>
        <v>#REF!</v>
      </c>
      <c r="C3005" s="41"/>
      <c r="D3005" s="26" t="e">
        <f>TRIM(INDEX(#REF!,MATCH(Composições!A3005,#REF!,0),1))</f>
        <v>#REF!</v>
      </c>
      <c r="E3005" s="27"/>
      <c r="F3005" s="42" t="s">
        <v>560</v>
      </c>
      <c r="G3005" s="28" t="str">
        <f t="shared" si="51"/>
        <v/>
      </c>
      <c r="H3005" s="29"/>
      <c r="I3005" s="30"/>
      <c r="J3005" s="155">
        <v>0</v>
      </c>
    </row>
    <row r="3006" spans="1:10" ht="15" hidden="1" thickBot="1" x14ac:dyDescent="0.35">
      <c r="A3006" s="229"/>
      <c r="B3006" s="224"/>
      <c r="C3006" s="32"/>
      <c r="D3006" s="32"/>
      <c r="E3006" s="33"/>
      <c r="F3006" s="43" t="s">
        <v>560</v>
      </c>
      <c r="G3006" s="34" t="str">
        <f t="shared" si="51"/>
        <v/>
      </c>
      <c r="H3006" s="35"/>
      <c r="I3006" s="31"/>
      <c r="J3006" s="155">
        <v>0</v>
      </c>
    </row>
    <row r="3007" spans="1:10" ht="15" hidden="1" thickBot="1" x14ac:dyDescent="0.35">
      <c r="A3007" s="229"/>
      <c r="B3007" s="224"/>
      <c r="C3007" s="36" t="s">
        <v>68</v>
      </c>
      <c r="D3007" s="36" t="s">
        <v>12</v>
      </c>
      <c r="E3007" s="37">
        <v>0.2</v>
      </c>
      <c r="F3007" s="34">
        <v>18.861499999999999</v>
      </c>
      <c r="G3007" s="34">
        <f t="shared" si="51"/>
        <v>3.7723</v>
      </c>
      <c r="H3007" s="39">
        <f>SUM(G3007:G3008)</f>
        <v>3.7723</v>
      </c>
      <c r="I3007" s="40"/>
      <c r="J3007" s="155">
        <v>0</v>
      </c>
    </row>
    <row r="3008" spans="1:10" ht="27" hidden="1" thickBot="1" x14ac:dyDescent="0.35">
      <c r="A3008" s="229"/>
      <c r="B3008" s="224"/>
      <c r="C3008" s="36" t="s">
        <v>929</v>
      </c>
      <c r="D3008" s="36" t="s">
        <v>93</v>
      </c>
      <c r="E3008" s="37">
        <v>0.11899999999999999</v>
      </c>
      <c r="F3008" s="31" t="s">
        <v>560</v>
      </c>
      <c r="G3008" s="34" t="str">
        <f t="shared" si="51"/>
        <v/>
      </c>
      <c r="H3008" s="35"/>
      <c r="I3008" s="31"/>
      <c r="J3008" s="155">
        <v>0</v>
      </c>
    </row>
    <row r="3009" spans="1:10" ht="15" hidden="1" thickBot="1" x14ac:dyDescent="0.35">
      <c r="A3009" s="230"/>
      <c r="B3009" s="225"/>
      <c r="C3009" s="36"/>
      <c r="D3009" s="36"/>
      <c r="E3009" s="37"/>
      <c r="F3009" s="31" t="s">
        <v>560</v>
      </c>
      <c r="G3009" s="34" t="str">
        <f t="shared" ref="G3009:G3072" si="52">IF(ISNUMBER(F3009),E3009*F3009,"")</f>
        <v/>
      </c>
      <c r="H3009" s="35"/>
      <c r="I3009" s="31"/>
      <c r="J3009" s="155">
        <v>0</v>
      </c>
    </row>
    <row r="3010" spans="1:10" ht="15" hidden="1" thickBot="1" x14ac:dyDescent="0.35">
      <c r="A3010" s="226" t="s">
        <v>930</v>
      </c>
      <c r="B3010" s="223" t="e">
        <f>INDEX(#REF!,MATCH(Composições!A3010,#REF!,0),2)</f>
        <v>#REF!</v>
      </c>
      <c r="C3010" s="41"/>
      <c r="D3010" s="26" t="e">
        <f>TRIM(INDEX(#REF!,MATCH(Composições!A3010,#REF!,0),1))</f>
        <v>#REF!</v>
      </c>
      <c r="E3010" s="27"/>
      <c r="F3010" s="42" t="s">
        <v>560</v>
      </c>
      <c r="G3010" s="28" t="str">
        <f t="shared" si="52"/>
        <v/>
      </c>
      <c r="H3010" s="29"/>
      <c r="I3010" s="30"/>
      <c r="J3010" s="155">
        <v>0</v>
      </c>
    </row>
    <row r="3011" spans="1:10" ht="15" hidden="1" thickBot="1" x14ac:dyDescent="0.35">
      <c r="A3011" s="227"/>
      <c r="B3011" s="224"/>
      <c r="C3011" s="32"/>
      <c r="D3011" s="32"/>
      <c r="E3011" s="33"/>
      <c r="F3011" s="43" t="s">
        <v>560</v>
      </c>
      <c r="G3011" s="34" t="str">
        <f t="shared" si="52"/>
        <v/>
      </c>
      <c r="H3011" s="35"/>
      <c r="I3011" s="31"/>
      <c r="J3011" s="155">
        <v>0</v>
      </c>
    </row>
    <row r="3012" spans="1:10" ht="15" hidden="1" thickBot="1" x14ac:dyDescent="0.35">
      <c r="A3012" s="227"/>
      <c r="B3012" s="224"/>
      <c r="C3012" s="36" t="s">
        <v>68</v>
      </c>
      <c r="D3012" s="36" t="s">
        <v>12</v>
      </c>
      <c r="E3012" s="37">
        <v>0.3</v>
      </c>
      <c r="F3012" s="34">
        <v>18.861499999999999</v>
      </c>
      <c r="G3012" s="34">
        <f t="shared" si="52"/>
        <v>5.6584499999999993</v>
      </c>
      <c r="H3012" s="39">
        <f>SUM(G3012:G3013)</f>
        <v>9.7408639999999984</v>
      </c>
      <c r="I3012" s="40"/>
      <c r="J3012" s="155">
        <v>0</v>
      </c>
    </row>
    <row r="3013" spans="1:10" ht="15" hidden="1" thickBot="1" x14ac:dyDescent="0.35">
      <c r="A3013" s="227"/>
      <c r="B3013" s="224"/>
      <c r="C3013" s="36" t="s">
        <v>876</v>
      </c>
      <c r="D3013" s="36" t="s">
        <v>42</v>
      </c>
      <c r="E3013" s="37">
        <v>0.11899999999999999</v>
      </c>
      <c r="F3013" s="31">
        <v>34.305999999999997</v>
      </c>
      <c r="G3013" s="34">
        <f t="shared" si="52"/>
        <v>4.0824139999999991</v>
      </c>
      <c r="H3013" s="35"/>
      <c r="I3013" s="31"/>
      <c r="J3013" s="155">
        <v>0</v>
      </c>
    </row>
    <row r="3014" spans="1:10" ht="15" hidden="1" thickBot="1" x14ac:dyDescent="0.35">
      <c r="A3014" s="227"/>
      <c r="B3014" s="224"/>
      <c r="C3014" s="36"/>
      <c r="D3014" s="36"/>
      <c r="E3014" s="37"/>
      <c r="F3014" s="31" t="s">
        <v>560</v>
      </c>
      <c r="G3014" s="34" t="str">
        <f t="shared" si="52"/>
        <v/>
      </c>
      <c r="H3014" s="35"/>
      <c r="I3014" s="31"/>
      <c r="J3014" s="155">
        <v>0</v>
      </c>
    </row>
    <row r="3015" spans="1:10" ht="40.200000000000003" hidden="1" thickBot="1" x14ac:dyDescent="0.35">
      <c r="A3015" s="227"/>
      <c r="B3015" s="224"/>
      <c r="C3015" s="48" t="s">
        <v>931</v>
      </c>
      <c r="D3015" s="36"/>
      <c r="E3015" s="37"/>
      <c r="F3015" s="31" t="s">
        <v>560</v>
      </c>
      <c r="G3015" s="34" t="str">
        <f t="shared" si="52"/>
        <v/>
      </c>
      <c r="H3015" s="35"/>
      <c r="I3015" s="31"/>
      <c r="J3015" s="155">
        <v>0</v>
      </c>
    </row>
    <row r="3016" spans="1:10" ht="15" hidden="1" thickBot="1" x14ac:dyDescent="0.35">
      <c r="A3016" s="227"/>
      <c r="B3016" s="224"/>
      <c r="C3016" s="52" t="s">
        <v>932</v>
      </c>
      <c r="D3016" s="36"/>
      <c r="E3016" s="37"/>
      <c r="F3016" s="31" t="s">
        <v>560</v>
      </c>
      <c r="G3016" s="34" t="str">
        <f t="shared" si="52"/>
        <v/>
      </c>
      <c r="H3016" s="35"/>
      <c r="I3016" s="31"/>
      <c r="J3016" s="155">
        <v>0</v>
      </c>
    </row>
    <row r="3017" spans="1:10" ht="15" hidden="1" thickBot="1" x14ac:dyDescent="0.35">
      <c r="A3017" s="228"/>
      <c r="B3017" s="225"/>
      <c r="C3017" s="36"/>
      <c r="D3017" s="36"/>
      <c r="E3017" s="37"/>
      <c r="F3017" s="31" t="s">
        <v>560</v>
      </c>
      <c r="G3017" s="34" t="str">
        <f t="shared" si="52"/>
        <v/>
      </c>
      <c r="H3017" s="35"/>
      <c r="I3017" s="31"/>
      <c r="J3017" s="155">
        <v>0</v>
      </c>
    </row>
    <row r="3018" spans="1:10" ht="15" hidden="1" thickBot="1" x14ac:dyDescent="0.35">
      <c r="A3018" s="226" t="s">
        <v>933</v>
      </c>
      <c r="B3018" s="223" t="e">
        <f>INDEX(#REF!,MATCH(Composições!A3018,#REF!,0),2)</f>
        <v>#REF!</v>
      </c>
      <c r="C3018" s="41"/>
      <c r="D3018" s="26" t="e">
        <f>TRIM(INDEX(#REF!,MATCH(Composições!A3018,#REF!,0),1))</f>
        <v>#REF!</v>
      </c>
      <c r="E3018" s="27"/>
      <c r="F3018" s="42" t="s">
        <v>560</v>
      </c>
      <c r="G3018" s="28" t="str">
        <f t="shared" si="52"/>
        <v/>
      </c>
      <c r="H3018" s="29"/>
      <c r="I3018" s="30"/>
      <c r="J3018" s="155">
        <v>0</v>
      </c>
    </row>
    <row r="3019" spans="1:10" ht="15" hidden="1" thickBot="1" x14ac:dyDescent="0.35">
      <c r="A3019" s="229"/>
      <c r="B3019" s="224"/>
      <c r="C3019" s="32"/>
      <c r="D3019" s="32"/>
      <c r="E3019" s="33"/>
      <c r="F3019" s="43" t="s">
        <v>560</v>
      </c>
      <c r="G3019" s="34" t="str">
        <f t="shared" si="52"/>
        <v/>
      </c>
      <c r="H3019" s="35"/>
      <c r="I3019" s="31"/>
      <c r="J3019" s="155">
        <v>0</v>
      </c>
    </row>
    <row r="3020" spans="1:10" ht="15" hidden="1" thickBot="1" x14ac:dyDescent="0.35">
      <c r="A3020" s="229"/>
      <c r="B3020" s="224"/>
      <c r="C3020" s="36" t="s">
        <v>68</v>
      </c>
      <c r="D3020" s="47" t="s">
        <v>12</v>
      </c>
      <c r="E3020" s="37">
        <v>1.5</v>
      </c>
      <c r="F3020" s="34">
        <v>18.861499999999999</v>
      </c>
      <c r="G3020" s="34">
        <f t="shared" si="52"/>
        <v>28.292249999999999</v>
      </c>
      <c r="H3020" s="39">
        <f>SUM(G3020:G3020)</f>
        <v>28.292249999999999</v>
      </c>
      <c r="I3020" s="40"/>
      <c r="J3020" s="155">
        <v>0</v>
      </c>
    </row>
    <row r="3021" spans="1:10" ht="15" hidden="1" thickBot="1" x14ac:dyDescent="0.35">
      <c r="A3021" s="230"/>
      <c r="B3021" s="225"/>
      <c r="C3021" s="36"/>
      <c r="D3021" s="36"/>
      <c r="E3021" s="37"/>
      <c r="F3021" s="31" t="s">
        <v>560</v>
      </c>
      <c r="G3021" s="34" t="str">
        <f t="shared" si="52"/>
        <v/>
      </c>
      <c r="H3021" s="35"/>
      <c r="I3021" s="31"/>
      <c r="J3021" s="155">
        <v>0</v>
      </c>
    </row>
    <row r="3022" spans="1:10" ht="15" hidden="1" thickBot="1" x14ac:dyDescent="0.35">
      <c r="A3022" s="226" t="s">
        <v>934</v>
      </c>
      <c r="B3022" s="223" t="e">
        <f>INDEX(#REF!,MATCH(Composições!A3022,#REF!,0),2)</f>
        <v>#REF!</v>
      </c>
      <c r="C3022" s="41"/>
      <c r="D3022" s="26" t="e">
        <f>TRIM(INDEX(#REF!,MATCH(Composições!A3022,#REF!,0),1))</f>
        <v>#REF!</v>
      </c>
      <c r="E3022" s="27"/>
      <c r="F3022" s="42" t="s">
        <v>560</v>
      </c>
      <c r="G3022" s="28" t="str">
        <f t="shared" si="52"/>
        <v/>
      </c>
      <c r="H3022" s="29"/>
      <c r="I3022" s="30"/>
      <c r="J3022" s="155">
        <v>0</v>
      </c>
    </row>
    <row r="3023" spans="1:10" ht="15" hidden="1" thickBot="1" x14ac:dyDescent="0.35">
      <c r="A3023" s="229"/>
      <c r="B3023" s="224"/>
      <c r="C3023" s="32"/>
      <c r="D3023" s="32"/>
      <c r="E3023" s="33"/>
      <c r="F3023" s="43" t="s">
        <v>560</v>
      </c>
      <c r="G3023" s="34" t="str">
        <f t="shared" si="52"/>
        <v/>
      </c>
      <c r="H3023" s="35"/>
      <c r="I3023" s="31"/>
      <c r="J3023" s="155">
        <v>0</v>
      </c>
    </row>
    <row r="3024" spans="1:10" ht="15" hidden="1" thickBot="1" x14ac:dyDescent="0.35">
      <c r="A3024" s="229"/>
      <c r="B3024" s="224"/>
      <c r="C3024" s="36" t="s">
        <v>68</v>
      </c>
      <c r="D3024" s="36" t="s">
        <v>12</v>
      </c>
      <c r="E3024" s="37">
        <v>0.47899999999999998</v>
      </c>
      <c r="F3024" s="34">
        <v>18.861499999999999</v>
      </c>
      <c r="G3024" s="34">
        <f t="shared" si="52"/>
        <v>9.034658499999999</v>
      </c>
      <c r="H3024" s="39">
        <f>SUM(G3024:G3028)</f>
        <v>70.677474499999988</v>
      </c>
      <c r="I3024" s="40"/>
      <c r="J3024" s="155">
        <v>0</v>
      </c>
    </row>
    <row r="3025" spans="1:10" ht="15" hidden="1" thickBot="1" x14ac:dyDescent="0.35">
      <c r="A3025" s="229"/>
      <c r="B3025" s="224"/>
      <c r="C3025" s="36" t="s">
        <v>23</v>
      </c>
      <c r="D3025" s="36" t="s">
        <v>12</v>
      </c>
      <c r="E3025" s="37">
        <v>0.46600000000000003</v>
      </c>
      <c r="F3025" s="34">
        <v>14.968499999999999</v>
      </c>
      <c r="G3025" s="34">
        <f t="shared" si="52"/>
        <v>6.9753210000000001</v>
      </c>
      <c r="H3025" s="35"/>
      <c r="I3025" s="31"/>
      <c r="J3025" s="155">
        <v>0</v>
      </c>
    </row>
    <row r="3026" spans="1:10" ht="15" hidden="1" thickBot="1" x14ac:dyDescent="0.35">
      <c r="A3026" s="229"/>
      <c r="B3026" s="224"/>
      <c r="C3026" s="36" t="s">
        <v>1237</v>
      </c>
      <c r="D3026" s="36" t="s">
        <v>515</v>
      </c>
      <c r="E3026" s="37">
        <v>4.609</v>
      </c>
      <c r="F3026" s="31">
        <v>11.305</v>
      </c>
      <c r="G3026" s="34">
        <f t="shared" si="52"/>
        <v>52.104745000000001</v>
      </c>
      <c r="H3026" s="35"/>
      <c r="I3026" s="31"/>
      <c r="J3026" s="155">
        <v>0</v>
      </c>
    </row>
    <row r="3027" spans="1:10" ht="27" hidden="1" thickBot="1" x14ac:dyDescent="0.35">
      <c r="A3027" s="229"/>
      <c r="B3027" s="224"/>
      <c r="C3027" s="36" t="s">
        <v>1786</v>
      </c>
      <c r="D3027" s="36" t="s">
        <v>93</v>
      </c>
      <c r="E3027" s="37">
        <v>1.5</v>
      </c>
      <c r="F3027" s="31">
        <v>1.7084999999999997</v>
      </c>
      <c r="G3027" s="34">
        <f t="shared" si="52"/>
        <v>2.5627499999999994</v>
      </c>
      <c r="H3027" s="35"/>
      <c r="I3027" s="31"/>
      <c r="J3027" s="155">
        <v>0</v>
      </c>
    </row>
    <row r="3028" spans="1:10" ht="15" hidden="1" thickBot="1" x14ac:dyDescent="0.35">
      <c r="A3028" s="229"/>
      <c r="B3028" s="224"/>
      <c r="C3028" s="36" t="s">
        <v>935</v>
      </c>
      <c r="D3028" s="36" t="s">
        <v>95</v>
      </c>
      <c r="E3028" s="37">
        <v>1</v>
      </c>
      <c r="F3028" s="31" t="s">
        <v>560</v>
      </c>
      <c r="G3028" s="34" t="str">
        <f t="shared" si="52"/>
        <v/>
      </c>
      <c r="H3028" s="35"/>
      <c r="I3028" s="31"/>
      <c r="J3028" s="155">
        <v>0</v>
      </c>
    </row>
    <row r="3029" spans="1:10" ht="15" hidden="1" thickBot="1" x14ac:dyDescent="0.35">
      <c r="A3029" s="230"/>
      <c r="B3029" s="225"/>
      <c r="C3029" s="36"/>
      <c r="D3029" s="36"/>
      <c r="E3029" s="37"/>
      <c r="F3029" s="31" t="s">
        <v>560</v>
      </c>
      <c r="G3029" s="34" t="str">
        <f t="shared" si="52"/>
        <v/>
      </c>
      <c r="H3029" s="35"/>
      <c r="I3029" s="31"/>
      <c r="J3029" s="155">
        <v>0</v>
      </c>
    </row>
    <row r="3030" spans="1:10" ht="15" hidden="1" thickBot="1" x14ac:dyDescent="0.35">
      <c r="A3030" s="226" t="s">
        <v>936</v>
      </c>
      <c r="B3030" s="223" t="e">
        <f>INDEX(#REF!,MATCH(Composições!A3030,#REF!,0),2)</f>
        <v>#REF!</v>
      </c>
      <c r="C3030" s="41"/>
      <c r="D3030" s="26" t="e">
        <f>TRIM(INDEX(#REF!,MATCH(Composições!A3030,#REF!,0),1))</f>
        <v>#REF!</v>
      </c>
      <c r="E3030" s="27"/>
      <c r="F3030" s="42" t="s">
        <v>560</v>
      </c>
      <c r="G3030" s="28" t="str">
        <f t="shared" si="52"/>
        <v/>
      </c>
      <c r="H3030" s="29"/>
      <c r="I3030" s="30"/>
      <c r="J3030" s="155">
        <v>0</v>
      </c>
    </row>
    <row r="3031" spans="1:10" ht="15" hidden="1" thickBot="1" x14ac:dyDescent="0.35">
      <c r="A3031" s="229"/>
      <c r="B3031" s="224"/>
      <c r="C3031" s="32"/>
      <c r="D3031" s="32"/>
      <c r="E3031" s="33"/>
      <c r="F3031" s="43" t="s">
        <v>560</v>
      </c>
      <c r="G3031" s="34" t="str">
        <f t="shared" si="52"/>
        <v/>
      </c>
      <c r="H3031" s="35"/>
      <c r="I3031" s="31"/>
      <c r="J3031" s="155">
        <v>0</v>
      </c>
    </row>
    <row r="3032" spans="1:10" ht="15" hidden="1" thickBot="1" x14ac:dyDescent="0.35">
      <c r="A3032" s="229"/>
      <c r="B3032" s="224"/>
      <c r="C3032" s="36" t="s">
        <v>68</v>
      </c>
      <c r="D3032" s="47" t="s">
        <v>12</v>
      </c>
      <c r="E3032" s="37">
        <v>0.4</v>
      </c>
      <c r="F3032" s="34">
        <v>18.861499999999999</v>
      </c>
      <c r="G3032" s="34">
        <f t="shared" si="52"/>
        <v>7.5446</v>
      </c>
      <c r="H3032" s="39">
        <f>SUM(G3032:G3033)</f>
        <v>7.5446</v>
      </c>
      <c r="I3032" s="40"/>
      <c r="J3032" s="155">
        <v>0</v>
      </c>
    </row>
    <row r="3033" spans="1:10" ht="15" hidden="1" thickBot="1" x14ac:dyDescent="0.35">
      <c r="A3033" s="229"/>
      <c r="B3033" s="224"/>
      <c r="C3033" s="36" t="s">
        <v>937</v>
      </c>
      <c r="D3033" s="47" t="s">
        <v>20</v>
      </c>
      <c r="E3033" s="37">
        <v>1</v>
      </c>
      <c r="F3033" s="31" t="s">
        <v>560</v>
      </c>
      <c r="G3033" s="34" t="str">
        <f t="shared" si="52"/>
        <v/>
      </c>
      <c r="H3033" s="35"/>
      <c r="I3033" s="31"/>
      <c r="J3033" s="155">
        <v>0</v>
      </c>
    </row>
    <row r="3034" spans="1:10" ht="15" hidden="1" thickBot="1" x14ac:dyDescent="0.35">
      <c r="A3034" s="230"/>
      <c r="B3034" s="225"/>
      <c r="C3034" s="36"/>
      <c r="D3034" s="36"/>
      <c r="E3034" s="37"/>
      <c r="F3034" s="31" t="s">
        <v>560</v>
      </c>
      <c r="G3034" s="34" t="str">
        <f t="shared" si="52"/>
        <v/>
      </c>
      <c r="H3034" s="35"/>
      <c r="I3034" s="31"/>
      <c r="J3034" s="155">
        <v>0</v>
      </c>
    </row>
    <row r="3035" spans="1:10" ht="15" thickBot="1" x14ac:dyDescent="0.35">
      <c r="A3035" s="226" t="s">
        <v>938</v>
      </c>
      <c r="B3035" s="223" t="str">
        <f>INDEX(Orçamentária!A:B,MATCH(Composições!A3035,Orçamentária!A:A,0),2)</f>
        <v>Armação de aço CA-50 bitolas de 5,0mm a 8,00mm</v>
      </c>
      <c r="C3035" s="41"/>
      <c r="D3035" s="26" t="str">
        <f>TRIM(INDEX(Orçamentária!C:C,MATCH(Composições!A3035,Orçamentária!A:A,0),1))</f>
        <v>kg</v>
      </c>
      <c r="E3035" s="27"/>
      <c r="F3035" s="42" t="s">
        <v>560</v>
      </c>
      <c r="G3035" s="28" t="str">
        <f t="shared" si="52"/>
        <v/>
      </c>
      <c r="H3035" s="29"/>
      <c r="I3035" s="30"/>
      <c r="J3035" s="155">
        <v>3415.18</v>
      </c>
    </row>
    <row r="3036" spans="1:10" x14ac:dyDescent="0.3">
      <c r="A3036" s="229"/>
      <c r="B3036" s="224"/>
      <c r="C3036" s="32"/>
      <c r="D3036" s="32"/>
      <c r="E3036" s="33"/>
      <c r="F3036" s="43" t="s">
        <v>560</v>
      </c>
      <c r="G3036" s="34" t="str">
        <f t="shared" si="52"/>
        <v/>
      </c>
      <c r="H3036" s="35"/>
      <c r="I3036" s="31"/>
      <c r="J3036" s="155">
        <v>3415.18</v>
      </c>
    </row>
    <row r="3037" spans="1:10" ht="26.4" x14ac:dyDescent="0.3">
      <c r="A3037" s="229"/>
      <c r="B3037" s="224"/>
      <c r="C3037" s="36" t="s">
        <v>1912</v>
      </c>
      <c r="D3037" s="47" t="s">
        <v>939</v>
      </c>
      <c r="E3037" s="37">
        <v>2.5000000000000001E-2</v>
      </c>
      <c r="F3037" s="31">
        <v>19.465</v>
      </c>
      <c r="G3037" s="34">
        <f t="shared" si="52"/>
        <v>0.48662500000000003</v>
      </c>
      <c r="H3037" s="39">
        <f>SUM(G3037:G3041)</f>
        <v>16.2135715</v>
      </c>
      <c r="I3037" s="40"/>
      <c r="J3037" s="155">
        <v>3415.18</v>
      </c>
    </row>
    <row r="3038" spans="1:10" ht="26.4" x14ac:dyDescent="0.3">
      <c r="A3038" s="229"/>
      <c r="B3038" s="224"/>
      <c r="C3038" s="36" t="s">
        <v>940</v>
      </c>
      <c r="D3038" s="47" t="s">
        <v>292</v>
      </c>
      <c r="E3038" s="37">
        <v>0.74299999999999999</v>
      </c>
      <c r="F3038" s="31">
        <v>0.17849999999999999</v>
      </c>
      <c r="G3038" s="34">
        <f t="shared" si="52"/>
        <v>0.13262549999999998</v>
      </c>
      <c r="H3038" s="35"/>
      <c r="I3038" s="31"/>
      <c r="J3038" s="155">
        <v>3415.18</v>
      </c>
    </row>
    <row r="3039" spans="1:10" x14ac:dyDescent="0.3">
      <c r="A3039" s="229"/>
      <c r="B3039" s="224"/>
      <c r="C3039" s="36" t="s">
        <v>941</v>
      </c>
      <c r="D3039" s="47" t="s">
        <v>744</v>
      </c>
      <c r="E3039" s="37">
        <v>2.0899999999999998E-2</v>
      </c>
      <c r="F3039" s="31">
        <v>15.674000000000001</v>
      </c>
      <c r="G3039" s="34">
        <f t="shared" si="52"/>
        <v>0.32758660000000001</v>
      </c>
      <c r="H3039" s="35"/>
      <c r="I3039" s="31"/>
      <c r="J3039" s="155">
        <v>3415.18</v>
      </c>
    </row>
    <row r="3040" spans="1:10" x14ac:dyDescent="0.3">
      <c r="A3040" s="229"/>
      <c r="B3040" s="224"/>
      <c r="C3040" s="36" t="s">
        <v>942</v>
      </c>
      <c r="D3040" s="36" t="s">
        <v>744</v>
      </c>
      <c r="E3040" s="37">
        <v>0.1278</v>
      </c>
      <c r="F3040" s="31">
        <v>20.213000000000001</v>
      </c>
      <c r="G3040" s="34">
        <f t="shared" si="52"/>
        <v>2.5832214000000002</v>
      </c>
      <c r="H3040" s="35"/>
      <c r="I3040" s="31"/>
      <c r="J3040" s="155">
        <v>3415.18</v>
      </c>
    </row>
    <row r="3041" spans="1:10" ht="26.4" x14ac:dyDescent="0.3">
      <c r="A3041" s="229"/>
      <c r="B3041" s="224"/>
      <c r="C3041" s="36" t="s">
        <v>943</v>
      </c>
      <c r="D3041" s="36" t="s">
        <v>939</v>
      </c>
      <c r="E3041" s="37">
        <v>1</v>
      </c>
      <c r="F3041" s="31">
        <v>12.683513000000001</v>
      </c>
      <c r="G3041" s="34">
        <f t="shared" si="52"/>
        <v>12.683513000000001</v>
      </c>
      <c r="H3041" s="35"/>
      <c r="I3041" s="31"/>
      <c r="J3041" s="155">
        <v>3415.18</v>
      </c>
    </row>
    <row r="3042" spans="1:10" ht="15" thickBot="1" x14ac:dyDescent="0.35">
      <c r="A3042" s="230"/>
      <c r="B3042" s="225"/>
      <c r="C3042" s="36"/>
      <c r="D3042" s="36"/>
      <c r="E3042" s="37"/>
      <c r="F3042" s="31" t="s">
        <v>560</v>
      </c>
      <c r="G3042" s="34" t="str">
        <f t="shared" si="52"/>
        <v/>
      </c>
      <c r="H3042" s="35"/>
      <c r="I3042" s="31"/>
      <c r="J3042" s="155">
        <v>3415.18</v>
      </c>
    </row>
    <row r="3043" spans="1:10" ht="15" hidden="1" thickBot="1" x14ac:dyDescent="0.35">
      <c r="A3043" s="226" t="s">
        <v>944</v>
      </c>
      <c r="B3043" s="223" t="e">
        <f>INDEX(#REF!,MATCH(Composições!A3043,#REF!,0),2)</f>
        <v>#REF!</v>
      </c>
      <c r="C3043" s="41"/>
      <c r="D3043" s="26" t="e">
        <f>TRIM(INDEX(#REF!,MATCH(Composições!A3043,#REF!,0),1))</f>
        <v>#REF!</v>
      </c>
      <c r="E3043" s="27"/>
      <c r="F3043" s="42" t="s">
        <v>560</v>
      </c>
      <c r="G3043" s="28" t="str">
        <f t="shared" si="52"/>
        <v/>
      </c>
      <c r="H3043" s="29"/>
      <c r="I3043" s="30"/>
      <c r="J3043" s="155">
        <v>0</v>
      </c>
    </row>
    <row r="3044" spans="1:10" ht="15" hidden="1" thickBot="1" x14ac:dyDescent="0.35">
      <c r="A3044" s="229"/>
      <c r="B3044" s="224"/>
      <c r="C3044" s="32"/>
      <c r="D3044" s="32"/>
      <c r="E3044" s="33"/>
      <c r="F3044" s="43" t="s">
        <v>560</v>
      </c>
      <c r="G3044" s="34" t="str">
        <f t="shared" si="52"/>
        <v/>
      </c>
      <c r="H3044" s="35"/>
      <c r="I3044" s="31"/>
      <c r="J3044" s="155">
        <v>0</v>
      </c>
    </row>
    <row r="3045" spans="1:10" ht="15" hidden="1" thickBot="1" x14ac:dyDescent="0.35">
      <c r="A3045" s="229"/>
      <c r="B3045" s="224"/>
      <c r="C3045" s="36" t="s">
        <v>68</v>
      </c>
      <c r="D3045" s="36" t="s">
        <v>12</v>
      </c>
      <c r="E3045" s="37">
        <v>0.2</v>
      </c>
      <c r="F3045" s="34">
        <v>18.861499999999999</v>
      </c>
      <c r="G3045" s="34">
        <f t="shared" si="52"/>
        <v>3.7723</v>
      </c>
      <c r="H3045" s="39">
        <f>SUM(G3045:G3046)</f>
        <v>3.7723</v>
      </c>
      <c r="I3045" s="40"/>
      <c r="J3045" s="155">
        <v>0</v>
      </c>
    </row>
    <row r="3046" spans="1:10" ht="27" hidden="1" thickBot="1" x14ac:dyDescent="0.35">
      <c r="A3046" s="229"/>
      <c r="B3046" s="224"/>
      <c r="C3046" s="36" t="s">
        <v>945</v>
      </c>
      <c r="D3046" s="36" t="s">
        <v>20</v>
      </c>
      <c r="E3046" s="37">
        <v>1</v>
      </c>
      <c r="F3046" s="31" t="s">
        <v>560</v>
      </c>
      <c r="G3046" s="34" t="str">
        <f t="shared" si="52"/>
        <v/>
      </c>
      <c r="H3046" s="35"/>
      <c r="I3046" s="31"/>
      <c r="J3046" s="155">
        <v>0</v>
      </c>
    </row>
    <row r="3047" spans="1:10" ht="15" hidden="1" thickBot="1" x14ac:dyDescent="0.35">
      <c r="A3047" s="230"/>
      <c r="B3047" s="225"/>
      <c r="C3047" s="36"/>
      <c r="D3047" s="36"/>
      <c r="E3047" s="37"/>
      <c r="F3047" s="31" t="s">
        <v>560</v>
      </c>
      <c r="G3047" s="34" t="str">
        <f t="shared" si="52"/>
        <v/>
      </c>
      <c r="H3047" s="35"/>
      <c r="I3047" s="31"/>
      <c r="J3047" s="155">
        <v>0</v>
      </c>
    </row>
    <row r="3048" spans="1:10" ht="15" hidden="1" thickBot="1" x14ac:dyDescent="0.35">
      <c r="A3048" s="226" t="s">
        <v>946</v>
      </c>
      <c r="B3048" s="223" t="e">
        <f>INDEX(#REF!,MATCH(Composições!A3048,#REF!,0),2)</f>
        <v>#REF!</v>
      </c>
      <c r="C3048" s="41"/>
      <c r="D3048" s="26" t="e">
        <f>TRIM(INDEX(#REF!,MATCH(Composições!A3048,#REF!,0),1))</f>
        <v>#REF!</v>
      </c>
      <c r="E3048" s="27"/>
      <c r="F3048" s="42" t="s">
        <v>560</v>
      </c>
      <c r="G3048" s="28" t="str">
        <f t="shared" si="52"/>
        <v/>
      </c>
      <c r="H3048" s="29"/>
      <c r="I3048" s="30"/>
      <c r="J3048" s="155">
        <v>0</v>
      </c>
    </row>
    <row r="3049" spans="1:10" ht="15" hidden="1" thickBot="1" x14ac:dyDescent="0.35">
      <c r="A3049" s="229"/>
      <c r="B3049" s="224"/>
      <c r="C3049" s="32"/>
      <c r="D3049" s="32"/>
      <c r="E3049" s="33"/>
      <c r="F3049" s="43" t="s">
        <v>560</v>
      </c>
      <c r="G3049" s="34" t="str">
        <f t="shared" si="52"/>
        <v/>
      </c>
      <c r="H3049" s="35"/>
      <c r="I3049" s="31"/>
      <c r="J3049" s="155">
        <v>0</v>
      </c>
    </row>
    <row r="3050" spans="1:10" ht="15" hidden="1" thickBot="1" x14ac:dyDescent="0.35">
      <c r="A3050" s="229"/>
      <c r="B3050" s="224"/>
      <c r="C3050" s="36" t="s">
        <v>68</v>
      </c>
      <c r="D3050" s="36" t="s">
        <v>12</v>
      </c>
      <c r="E3050" s="37">
        <v>0.3</v>
      </c>
      <c r="F3050" s="34">
        <v>18.861499999999999</v>
      </c>
      <c r="G3050" s="34">
        <f t="shared" si="52"/>
        <v>5.6584499999999993</v>
      </c>
      <c r="H3050" s="39">
        <f>SUM(G3050:G3051)</f>
        <v>5.6584499999999993</v>
      </c>
      <c r="I3050" s="40"/>
      <c r="J3050" s="155">
        <v>0</v>
      </c>
    </row>
    <row r="3051" spans="1:10" ht="27" hidden="1" thickBot="1" x14ac:dyDescent="0.35">
      <c r="A3051" s="229"/>
      <c r="B3051" s="224"/>
      <c r="C3051" s="36" t="s">
        <v>947</v>
      </c>
      <c r="D3051" s="36" t="s">
        <v>20</v>
      </c>
      <c r="E3051" s="37">
        <v>1</v>
      </c>
      <c r="F3051" s="31" t="s">
        <v>560</v>
      </c>
      <c r="G3051" s="34" t="str">
        <f t="shared" si="52"/>
        <v/>
      </c>
      <c r="H3051" s="35"/>
      <c r="I3051" s="31"/>
      <c r="J3051" s="155">
        <v>0</v>
      </c>
    </row>
    <row r="3052" spans="1:10" ht="15" hidden="1" thickBot="1" x14ac:dyDescent="0.35">
      <c r="A3052" s="230"/>
      <c r="B3052" s="225"/>
      <c r="C3052" s="36"/>
      <c r="D3052" s="36"/>
      <c r="E3052" s="37"/>
      <c r="F3052" s="31" t="s">
        <v>560</v>
      </c>
      <c r="G3052" s="34" t="str">
        <f t="shared" si="52"/>
        <v/>
      </c>
      <c r="H3052" s="35"/>
      <c r="I3052" s="31"/>
      <c r="J3052" s="155">
        <v>0</v>
      </c>
    </row>
    <row r="3053" spans="1:10" ht="15" hidden="1" thickBot="1" x14ac:dyDescent="0.35">
      <c r="A3053" s="226" t="s">
        <v>948</v>
      </c>
      <c r="B3053" s="223" t="e">
        <f>INDEX(#REF!,MATCH(Composições!A3053,#REF!,0),2)</f>
        <v>#REF!</v>
      </c>
      <c r="C3053" s="41"/>
      <c r="D3053" s="26" t="e">
        <f>TRIM(INDEX(#REF!,MATCH(Composições!A3053,#REF!,0),1))</f>
        <v>#REF!</v>
      </c>
      <c r="E3053" s="27"/>
      <c r="F3053" s="42" t="s">
        <v>560</v>
      </c>
      <c r="G3053" s="28" t="str">
        <f t="shared" si="52"/>
        <v/>
      </c>
      <c r="H3053" s="29"/>
      <c r="I3053" s="30"/>
      <c r="J3053" s="155">
        <v>0</v>
      </c>
    </row>
    <row r="3054" spans="1:10" ht="15" hidden="1" thickBot="1" x14ac:dyDescent="0.35">
      <c r="A3054" s="229"/>
      <c r="B3054" s="224"/>
      <c r="C3054" s="32"/>
      <c r="D3054" s="32"/>
      <c r="E3054" s="33"/>
      <c r="F3054" s="43" t="s">
        <v>560</v>
      </c>
      <c r="G3054" s="34" t="str">
        <f t="shared" si="52"/>
        <v/>
      </c>
      <c r="H3054" s="35"/>
      <c r="I3054" s="31"/>
      <c r="J3054" s="155">
        <v>0</v>
      </c>
    </row>
    <row r="3055" spans="1:10" ht="15" hidden="1" thickBot="1" x14ac:dyDescent="0.35">
      <c r="A3055" s="229"/>
      <c r="B3055" s="224"/>
      <c r="C3055" s="36" t="s">
        <v>68</v>
      </c>
      <c r="D3055" s="36" t="s">
        <v>12</v>
      </c>
      <c r="E3055" s="37">
        <v>0.3</v>
      </c>
      <c r="F3055" s="34">
        <v>18.861499999999999</v>
      </c>
      <c r="G3055" s="34">
        <f t="shared" si="52"/>
        <v>5.6584499999999993</v>
      </c>
      <c r="H3055" s="39">
        <f>SUM(G3055:G3056)</f>
        <v>5.6584499999999993</v>
      </c>
      <c r="I3055" s="40"/>
      <c r="J3055" s="155">
        <v>0</v>
      </c>
    </row>
    <row r="3056" spans="1:10" ht="40.200000000000003" hidden="1" thickBot="1" x14ac:dyDescent="0.35">
      <c r="A3056" s="229"/>
      <c r="B3056" s="224"/>
      <c r="C3056" s="36" t="s">
        <v>949</v>
      </c>
      <c r="D3056" s="36" t="s">
        <v>20</v>
      </c>
      <c r="E3056" s="37">
        <v>1</v>
      </c>
      <c r="F3056" s="31" t="s">
        <v>560</v>
      </c>
      <c r="G3056" s="34" t="str">
        <f t="shared" si="52"/>
        <v/>
      </c>
      <c r="H3056" s="35"/>
      <c r="I3056" s="31"/>
      <c r="J3056" s="155">
        <v>0</v>
      </c>
    </row>
    <row r="3057" spans="1:10" ht="15" hidden="1" thickBot="1" x14ac:dyDescent="0.35">
      <c r="A3057" s="230"/>
      <c r="B3057" s="225"/>
      <c r="C3057" s="36"/>
      <c r="D3057" s="36"/>
      <c r="E3057" s="37"/>
      <c r="F3057" s="31" t="s">
        <v>560</v>
      </c>
      <c r="G3057" s="34" t="str">
        <f t="shared" si="52"/>
        <v/>
      </c>
      <c r="H3057" s="35"/>
      <c r="I3057" s="31"/>
      <c r="J3057" s="155">
        <v>0</v>
      </c>
    </row>
    <row r="3058" spans="1:10" ht="15" hidden="1" thickBot="1" x14ac:dyDescent="0.35">
      <c r="A3058" s="226" t="s">
        <v>950</v>
      </c>
      <c r="B3058" s="223" t="e">
        <f>INDEX(#REF!,MATCH(Composições!A3058,#REF!,0),2)</f>
        <v>#REF!</v>
      </c>
      <c r="C3058" s="41"/>
      <c r="D3058" s="26" t="e">
        <f>TRIM(INDEX(#REF!,MATCH(Composições!A3058,#REF!,0),1))</f>
        <v>#REF!</v>
      </c>
      <c r="E3058" s="27"/>
      <c r="F3058" s="42" t="s">
        <v>560</v>
      </c>
      <c r="G3058" s="28" t="str">
        <f t="shared" si="52"/>
        <v/>
      </c>
      <c r="H3058" s="29"/>
      <c r="I3058" s="30"/>
      <c r="J3058" s="155">
        <v>0</v>
      </c>
    </row>
    <row r="3059" spans="1:10" ht="15" hidden="1" thickBot="1" x14ac:dyDescent="0.35">
      <c r="A3059" s="229"/>
      <c r="B3059" s="224"/>
      <c r="C3059" s="32"/>
      <c r="D3059" s="32"/>
      <c r="E3059" s="33"/>
      <c r="F3059" s="43" t="s">
        <v>560</v>
      </c>
      <c r="G3059" s="34" t="str">
        <f t="shared" si="52"/>
        <v/>
      </c>
      <c r="H3059" s="35"/>
      <c r="I3059" s="31"/>
      <c r="J3059" s="155">
        <v>0</v>
      </c>
    </row>
    <row r="3060" spans="1:10" ht="15" hidden="1" thickBot="1" x14ac:dyDescent="0.35">
      <c r="A3060" s="229"/>
      <c r="B3060" s="224"/>
      <c r="C3060" s="36" t="s">
        <v>68</v>
      </c>
      <c r="D3060" s="36" t="s">
        <v>12</v>
      </c>
      <c r="E3060" s="37">
        <v>0.3</v>
      </c>
      <c r="F3060" s="34">
        <v>18.861499999999999</v>
      </c>
      <c r="G3060" s="34">
        <f t="shared" si="52"/>
        <v>5.6584499999999993</v>
      </c>
      <c r="H3060" s="39">
        <f>SUM(G3060:G3061)</f>
        <v>5.6584499999999993</v>
      </c>
      <c r="I3060" s="40"/>
      <c r="J3060" s="155">
        <v>0</v>
      </c>
    </row>
    <row r="3061" spans="1:10" ht="27" hidden="1" thickBot="1" x14ac:dyDescent="0.35">
      <c r="A3061" s="229"/>
      <c r="B3061" s="224"/>
      <c r="C3061" s="36" t="s">
        <v>951</v>
      </c>
      <c r="D3061" s="36" t="s">
        <v>20</v>
      </c>
      <c r="E3061" s="37">
        <v>1</v>
      </c>
      <c r="F3061" s="31" t="s">
        <v>560</v>
      </c>
      <c r="G3061" s="34" t="str">
        <f t="shared" si="52"/>
        <v/>
      </c>
      <c r="H3061" s="35"/>
      <c r="I3061" s="31"/>
      <c r="J3061" s="155">
        <v>0</v>
      </c>
    </row>
    <row r="3062" spans="1:10" ht="15" hidden="1" thickBot="1" x14ac:dyDescent="0.35">
      <c r="A3062" s="230"/>
      <c r="B3062" s="225"/>
      <c r="C3062" s="36"/>
      <c r="D3062" s="36"/>
      <c r="E3062" s="37"/>
      <c r="F3062" s="31" t="s">
        <v>560</v>
      </c>
      <c r="G3062" s="34" t="str">
        <f t="shared" si="52"/>
        <v/>
      </c>
      <c r="H3062" s="35"/>
      <c r="I3062" s="31"/>
      <c r="J3062" s="155">
        <v>0</v>
      </c>
    </row>
    <row r="3063" spans="1:10" ht="15" hidden="1" thickBot="1" x14ac:dyDescent="0.35">
      <c r="A3063" s="226" t="s">
        <v>952</v>
      </c>
      <c r="B3063" s="223" t="e">
        <f>INDEX(#REF!,MATCH(Composições!A3063,#REF!,0),2)</f>
        <v>#REF!</v>
      </c>
      <c r="C3063" s="41"/>
      <c r="D3063" s="26" t="e">
        <f>TRIM(INDEX(#REF!,MATCH(Composições!A3063,#REF!,0),1))</f>
        <v>#REF!</v>
      </c>
      <c r="E3063" s="27"/>
      <c r="F3063" s="42" t="s">
        <v>560</v>
      </c>
      <c r="G3063" s="28" t="str">
        <f t="shared" si="52"/>
        <v/>
      </c>
      <c r="H3063" s="29"/>
      <c r="I3063" s="30"/>
      <c r="J3063" s="155">
        <v>0</v>
      </c>
    </row>
    <row r="3064" spans="1:10" ht="15" hidden="1" thickBot="1" x14ac:dyDescent="0.35">
      <c r="A3064" s="229"/>
      <c r="B3064" s="224"/>
      <c r="C3064" s="32"/>
      <c r="D3064" s="32"/>
      <c r="E3064" s="33"/>
      <c r="F3064" s="43" t="s">
        <v>560</v>
      </c>
      <c r="G3064" s="34" t="str">
        <f t="shared" si="52"/>
        <v/>
      </c>
      <c r="H3064" s="35"/>
      <c r="I3064" s="31"/>
      <c r="J3064" s="155">
        <v>0</v>
      </c>
    </row>
    <row r="3065" spans="1:10" ht="15" hidden="1" thickBot="1" x14ac:dyDescent="0.35">
      <c r="A3065" s="229"/>
      <c r="B3065" s="224"/>
      <c r="C3065" s="36" t="s">
        <v>68</v>
      </c>
      <c r="D3065" s="36" t="s">
        <v>12</v>
      </c>
      <c r="E3065" s="37">
        <v>0.15</v>
      </c>
      <c r="F3065" s="34">
        <v>18.861499999999999</v>
      </c>
      <c r="G3065" s="34">
        <f t="shared" si="52"/>
        <v>2.8292249999999997</v>
      </c>
      <c r="H3065" s="39">
        <f>SUM(G3065:G3066)</f>
        <v>2.8292249999999997</v>
      </c>
      <c r="I3065" s="40"/>
      <c r="J3065" s="155">
        <v>0</v>
      </c>
    </row>
    <row r="3066" spans="1:10" ht="27" hidden="1" thickBot="1" x14ac:dyDescent="0.35">
      <c r="A3066" s="229"/>
      <c r="B3066" s="224"/>
      <c r="C3066" s="36" t="s">
        <v>953</v>
      </c>
      <c r="D3066" s="36" t="s">
        <v>20</v>
      </c>
      <c r="E3066" s="37">
        <v>1</v>
      </c>
      <c r="F3066" s="31" t="s">
        <v>560</v>
      </c>
      <c r="G3066" s="34" t="str">
        <f t="shared" si="52"/>
        <v/>
      </c>
      <c r="H3066" s="35"/>
      <c r="I3066" s="31"/>
      <c r="J3066" s="155">
        <v>0</v>
      </c>
    </row>
    <row r="3067" spans="1:10" ht="15" hidden="1" thickBot="1" x14ac:dyDescent="0.35">
      <c r="A3067" s="230"/>
      <c r="B3067" s="225"/>
      <c r="C3067" s="36"/>
      <c r="D3067" s="36"/>
      <c r="E3067" s="37"/>
      <c r="F3067" s="31" t="s">
        <v>560</v>
      </c>
      <c r="G3067" s="34" t="str">
        <f t="shared" si="52"/>
        <v/>
      </c>
      <c r="H3067" s="35"/>
      <c r="I3067" s="31"/>
      <c r="J3067" s="155">
        <v>0</v>
      </c>
    </row>
    <row r="3068" spans="1:10" ht="15" hidden="1" thickBot="1" x14ac:dyDescent="0.35">
      <c r="A3068" s="226" t="s">
        <v>954</v>
      </c>
      <c r="B3068" s="223" t="e">
        <f>INDEX(#REF!,MATCH(Composições!A3068,#REF!,0),2)</f>
        <v>#REF!</v>
      </c>
      <c r="C3068" s="41"/>
      <c r="D3068" s="26" t="e">
        <f>TRIM(INDEX(#REF!,MATCH(Composições!A3068,#REF!,0),1))</f>
        <v>#REF!</v>
      </c>
      <c r="E3068" s="27"/>
      <c r="F3068" s="42" t="s">
        <v>560</v>
      </c>
      <c r="G3068" s="28" t="str">
        <f t="shared" si="52"/>
        <v/>
      </c>
      <c r="H3068" s="29"/>
      <c r="I3068" s="30"/>
      <c r="J3068" s="155">
        <v>0</v>
      </c>
    </row>
    <row r="3069" spans="1:10" ht="15" hidden="1" thickBot="1" x14ac:dyDescent="0.35">
      <c r="A3069" s="229"/>
      <c r="B3069" s="224"/>
      <c r="C3069" s="32"/>
      <c r="D3069" s="32"/>
      <c r="E3069" s="33"/>
      <c r="F3069" s="43" t="s">
        <v>560</v>
      </c>
      <c r="G3069" s="34" t="str">
        <f t="shared" si="52"/>
        <v/>
      </c>
      <c r="H3069" s="35"/>
      <c r="I3069" s="31"/>
      <c r="J3069" s="155">
        <v>0</v>
      </c>
    </row>
    <row r="3070" spans="1:10" ht="15" hidden="1" thickBot="1" x14ac:dyDescent="0.35">
      <c r="A3070" s="229"/>
      <c r="B3070" s="224"/>
      <c r="C3070" s="36" t="s">
        <v>68</v>
      </c>
      <c r="D3070" s="36" t="s">
        <v>12</v>
      </c>
      <c r="E3070" s="37">
        <v>0.15</v>
      </c>
      <c r="F3070" s="34">
        <v>18.861499999999999</v>
      </c>
      <c r="G3070" s="34">
        <f t="shared" si="52"/>
        <v>2.8292249999999997</v>
      </c>
      <c r="H3070" s="39">
        <f>SUM(G3070:G3071)</f>
        <v>2.8292249999999997</v>
      </c>
      <c r="I3070" s="40"/>
      <c r="J3070" s="155">
        <v>0</v>
      </c>
    </row>
    <row r="3071" spans="1:10" ht="27" hidden="1" thickBot="1" x14ac:dyDescent="0.35">
      <c r="A3071" s="229"/>
      <c r="B3071" s="224"/>
      <c r="C3071" s="36" t="s">
        <v>955</v>
      </c>
      <c r="D3071" s="36" t="s">
        <v>20</v>
      </c>
      <c r="E3071" s="37">
        <v>1</v>
      </c>
      <c r="F3071" s="31" t="s">
        <v>560</v>
      </c>
      <c r="G3071" s="34" t="str">
        <f t="shared" si="52"/>
        <v/>
      </c>
      <c r="H3071" s="35"/>
      <c r="I3071" s="31"/>
      <c r="J3071" s="155">
        <v>0</v>
      </c>
    </row>
    <row r="3072" spans="1:10" ht="15" hidden="1" thickBot="1" x14ac:dyDescent="0.35">
      <c r="A3072" s="230"/>
      <c r="B3072" s="225"/>
      <c r="C3072" s="36"/>
      <c r="D3072" s="36"/>
      <c r="E3072" s="37"/>
      <c r="F3072" s="31" t="s">
        <v>560</v>
      </c>
      <c r="G3072" s="34" t="str">
        <f t="shared" si="52"/>
        <v/>
      </c>
      <c r="H3072" s="35"/>
      <c r="I3072" s="31"/>
      <c r="J3072" s="155">
        <v>0</v>
      </c>
    </row>
    <row r="3073" spans="1:10" ht="15" hidden="1" thickBot="1" x14ac:dyDescent="0.35">
      <c r="A3073" s="226" t="s">
        <v>956</v>
      </c>
      <c r="B3073" s="223" t="e">
        <f>INDEX(#REF!,MATCH(Composições!A3073,#REF!,0),2)</f>
        <v>#REF!</v>
      </c>
      <c r="C3073" s="41"/>
      <c r="D3073" s="26" t="e">
        <f>TRIM(INDEX(#REF!,MATCH(Composições!A3073,#REF!,0),1))</f>
        <v>#REF!</v>
      </c>
      <c r="E3073" s="27"/>
      <c r="F3073" s="42" t="s">
        <v>560</v>
      </c>
      <c r="G3073" s="28" t="str">
        <f t="shared" ref="G3073:G3136" si="53">IF(ISNUMBER(F3073),E3073*F3073,"")</f>
        <v/>
      </c>
      <c r="H3073" s="29"/>
      <c r="I3073" s="30"/>
      <c r="J3073" s="155">
        <v>0</v>
      </c>
    </row>
    <row r="3074" spans="1:10" ht="15" hidden="1" thickBot="1" x14ac:dyDescent="0.35">
      <c r="A3074" s="229"/>
      <c r="B3074" s="224"/>
      <c r="C3074" s="32"/>
      <c r="D3074" s="32"/>
      <c r="E3074" s="33"/>
      <c r="F3074" s="43" t="s">
        <v>560</v>
      </c>
      <c r="G3074" s="34" t="str">
        <f t="shared" si="53"/>
        <v/>
      </c>
      <c r="H3074" s="35"/>
      <c r="I3074" s="31"/>
      <c r="J3074" s="155">
        <v>0</v>
      </c>
    </row>
    <row r="3075" spans="1:10" ht="15" hidden="1" thickBot="1" x14ac:dyDescent="0.35">
      <c r="A3075" s="229"/>
      <c r="B3075" s="224"/>
      <c r="C3075" s="36" t="s">
        <v>68</v>
      </c>
      <c r="D3075" s="36" t="s">
        <v>12</v>
      </c>
      <c r="E3075" s="37">
        <v>0.15</v>
      </c>
      <c r="F3075" s="34">
        <v>18.861499999999999</v>
      </c>
      <c r="G3075" s="34">
        <f t="shared" si="53"/>
        <v>2.8292249999999997</v>
      </c>
      <c r="H3075" s="39">
        <f>SUM(G3075:G3076)</f>
        <v>2.8292249999999997</v>
      </c>
      <c r="I3075" s="40"/>
      <c r="J3075" s="155">
        <v>0</v>
      </c>
    </row>
    <row r="3076" spans="1:10" ht="27" hidden="1" thickBot="1" x14ac:dyDescent="0.35">
      <c r="A3076" s="229"/>
      <c r="B3076" s="224"/>
      <c r="C3076" s="36" t="s">
        <v>957</v>
      </c>
      <c r="D3076" s="36" t="s">
        <v>20</v>
      </c>
      <c r="E3076" s="37">
        <v>1</v>
      </c>
      <c r="F3076" s="31" t="s">
        <v>560</v>
      </c>
      <c r="G3076" s="34" t="str">
        <f t="shared" si="53"/>
        <v/>
      </c>
      <c r="H3076" s="35"/>
      <c r="I3076" s="31"/>
      <c r="J3076" s="155">
        <v>0</v>
      </c>
    </row>
    <row r="3077" spans="1:10" ht="15" hidden="1" thickBot="1" x14ac:dyDescent="0.35">
      <c r="A3077" s="230"/>
      <c r="B3077" s="225"/>
      <c r="C3077" s="36"/>
      <c r="D3077" s="36"/>
      <c r="E3077" s="37"/>
      <c r="F3077" s="31" t="s">
        <v>560</v>
      </c>
      <c r="G3077" s="34" t="str">
        <f t="shared" si="53"/>
        <v/>
      </c>
      <c r="H3077" s="35"/>
      <c r="I3077" s="31"/>
      <c r="J3077" s="155">
        <v>0</v>
      </c>
    </row>
    <row r="3078" spans="1:10" ht="15" hidden="1" thickBot="1" x14ac:dyDescent="0.35">
      <c r="A3078" s="226" t="s">
        <v>958</v>
      </c>
      <c r="B3078" s="223" t="e">
        <f>INDEX(#REF!,MATCH(Composições!A3078,#REF!,0),2)</f>
        <v>#REF!</v>
      </c>
      <c r="C3078" s="41"/>
      <c r="D3078" s="26" t="e">
        <f>TRIM(INDEX(#REF!,MATCH(Composições!A3078,#REF!,0),1))</f>
        <v>#REF!</v>
      </c>
      <c r="E3078" s="27"/>
      <c r="F3078" s="42" t="s">
        <v>560</v>
      </c>
      <c r="G3078" s="28" t="str">
        <f t="shared" si="53"/>
        <v/>
      </c>
      <c r="H3078" s="29"/>
      <c r="I3078" s="30"/>
      <c r="J3078" s="155">
        <v>0</v>
      </c>
    </row>
    <row r="3079" spans="1:10" ht="15" hidden="1" thickBot="1" x14ac:dyDescent="0.35">
      <c r="A3079" s="229"/>
      <c r="B3079" s="224"/>
      <c r="C3079" s="32"/>
      <c r="D3079" s="32"/>
      <c r="E3079" s="33"/>
      <c r="F3079" s="43" t="s">
        <v>560</v>
      </c>
      <c r="G3079" s="34" t="str">
        <f t="shared" si="53"/>
        <v/>
      </c>
      <c r="H3079" s="35"/>
      <c r="I3079" s="31"/>
      <c r="J3079" s="155">
        <v>0</v>
      </c>
    </row>
    <row r="3080" spans="1:10" ht="15" hidden="1" thickBot="1" x14ac:dyDescent="0.35">
      <c r="A3080" s="229"/>
      <c r="B3080" s="224"/>
      <c r="C3080" s="36" t="s">
        <v>68</v>
      </c>
      <c r="D3080" s="36" t="s">
        <v>12</v>
      </c>
      <c r="E3080" s="37">
        <v>0.15</v>
      </c>
      <c r="F3080" s="34">
        <v>18.861499999999999</v>
      </c>
      <c r="G3080" s="34">
        <f t="shared" si="53"/>
        <v>2.8292249999999997</v>
      </c>
      <c r="H3080" s="39">
        <f>SUM(G3080:G3081)</f>
        <v>2.8292249999999997</v>
      </c>
      <c r="I3080" s="40"/>
      <c r="J3080" s="155">
        <v>0</v>
      </c>
    </row>
    <row r="3081" spans="1:10" ht="15" hidden="1" thickBot="1" x14ac:dyDescent="0.35">
      <c r="A3081" s="229"/>
      <c r="B3081" s="224"/>
      <c r="C3081" s="36" t="s">
        <v>959</v>
      </c>
      <c r="D3081" s="36" t="s">
        <v>20</v>
      </c>
      <c r="E3081" s="37">
        <v>1</v>
      </c>
      <c r="F3081" s="31" t="s">
        <v>560</v>
      </c>
      <c r="G3081" s="34" t="str">
        <f t="shared" si="53"/>
        <v/>
      </c>
      <c r="H3081" s="35"/>
      <c r="I3081" s="31"/>
      <c r="J3081" s="155">
        <v>0</v>
      </c>
    </row>
    <row r="3082" spans="1:10" ht="15" hidden="1" thickBot="1" x14ac:dyDescent="0.35">
      <c r="A3082" s="230"/>
      <c r="B3082" s="225"/>
      <c r="C3082" s="36"/>
      <c r="D3082" s="36"/>
      <c r="E3082" s="37"/>
      <c r="F3082" s="31" t="s">
        <v>560</v>
      </c>
      <c r="G3082" s="34" t="str">
        <f t="shared" si="53"/>
        <v/>
      </c>
      <c r="H3082" s="35"/>
      <c r="I3082" s="31"/>
      <c r="J3082" s="155">
        <v>0</v>
      </c>
    </row>
    <row r="3083" spans="1:10" ht="15" hidden="1" thickBot="1" x14ac:dyDescent="0.35">
      <c r="A3083" s="226" t="s">
        <v>960</v>
      </c>
      <c r="B3083" s="223" t="e">
        <f>INDEX(#REF!,MATCH(Composições!A3083,#REF!,0),2)</f>
        <v>#REF!</v>
      </c>
      <c r="C3083" s="41"/>
      <c r="D3083" s="26" t="e">
        <f>TRIM(INDEX(#REF!,MATCH(Composições!A3083,#REF!,0),1))</f>
        <v>#REF!</v>
      </c>
      <c r="E3083" s="27"/>
      <c r="F3083" s="42" t="s">
        <v>560</v>
      </c>
      <c r="G3083" s="28" t="str">
        <f t="shared" si="53"/>
        <v/>
      </c>
      <c r="H3083" s="29"/>
      <c r="I3083" s="30"/>
      <c r="J3083" s="155">
        <v>0</v>
      </c>
    </row>
    <row r="3084" spans="1:10" ht="15" hidden="1" thickBot="1" x14ac:dyDescent="0.35">
      <c r="A3084" s="229"/>
      <c r="B3084" s="224"/>
      <c r="C3084" s="32"/>
      <c r="D3084" s="32"/>
      <c r="E3084" s="33"/>
      <c r="F3084" s="43" t="s">
        <v>560</v>
      </c>
      <c r="G3084" s="34" t="str">
        <f t="shared" si="53"/>
        <v/>
      </c>
      <c r="H3084" s="35"/>
      <c r="I3084" s="31"/>
      <c r="J3084" s="155">
        <v>0</v>
      </c>
    </row>
    <row r="3085" spans="1:10" ht="15" hidden="1" thickBot="1" x14ac:dyDescent="0.35">
      <c r="A3085" s="229"/>
      <c r="B3085" s="224"/>
      <c r="C3085" s="36" t="s">
        <v>68</v>
      </c>
      <c r="D3085" s="36" t="s">
        <v>12</v>
      </c>
      <c r="E3085" s="37">
        <v>0.4</v>
      </c>
      <c r="F3085" s="34">
        <v>18.861499999999999</v>
      </c>
      <c r="G3085" s="34">
        <f t="shared" si="53"/>
        <v>7.5446</v>
      </c>
      <c r="H3085" s="39">
        <f>SUM(G3085:G3086)</f>
        <v>7.5446</v>
      </c>
      <c r="I3085" s="40"/>
      <c r="J3085" s="155">
        <v>0</v>
      </c>
    </row>
    <row r="3086" spans="1:10" ht="40.200000000000003" hidden="1" thickBot="1" x14ac:dyDescent="0.35">
      <c r="A3086" s="229"/>
      <c r="B3086" s="224"/>
      <c r="C3086" s="36" t="s">
        <v>961</v>
      </c>
      <c r="D3086" s="36" t="s">
        <v>20</v>
      </c>
      <c r="E3086" s="37">
        <v>1</v>
      </c>
      <c r="F3086" s="31" t="s">
        <v>560</v>
      </c>
      <c r="G3086" s="34" t="str">
        <f t="shared" si="53"/>
        <v/>
      </c>
      <c r="H3086" s="35"/>
      <c r="I3086" s="31"/>
      <c r="J3086" s="155">
        <v>0</v>
      </c>
    </row>
    <row r="3087" spans="1:10" ht="15" hidden="1" thickBot="1" x14ac:dyDescent="0.35">
      <c r="A3087" s="230"/>
      <c r="B3087" s="225"/>
      <c r="C3087" s="36"/>
      <c r="D3087" s="36"/>
      <c r="E3087" s="37"/>
      <c r="F3087" s="31" t="s">
        <v>560</v>
      </c>
      <c r="G3087" s="34" t="str">
        <f t="shared" si="53"/>
        <v/>
      </c>
      <c r="H3087" s="35"/>
      <c r="I3087" s="31"/>
      <c r="J3087" s="155">
        <v>0</v>
      </c>
    </row>
    <row r="3088" spans="1:10" ht="15" hidden="1" thickBot="1" x14ac:dyDescent="0.35">
      <c r="A3088" s="226" t="s">
        <v>962</v>
      </c>
      <c r="B3088" s="223" t="e">
        <f>INDEX(#REF!,MATCH(Composições!A3088,#REF!,0),2)</f>
        <v>#REF!</v>
      </c>
      <c r="C3088" s="41"/>
      <c r="D3088" s="26" t="e">
        <f>TRIM(INDEX(#REF!,MATCH(Composições!A3088,#REF!,0),1))</f>
        <v>#REF!</v>
      </c>
      <c r="E3088" s="27"/>
      <c r="F3088" s="42" t="s">
        <v>560</v>
      </c>
      <c r="G3088" s="28" t="str">
        <f t="shared" si="53"/>
        <v/>
      </c>
      <c r="H3088" s="29"/>
      <c r="I3088" s="30"/>
      <c r="J3088" s="155">
        <v>0</v>
      </c>
    </row>
    <row r="3089" spans="1:10" ht="15" hidden="1" thickBot="1" x14ac:dyDescent="0.35">
      <c r="A3089" s="227"/>
      <c r="B3089" s="224"/>
      <c r="C3089" s="32"/>
      <c r="D3089" s="32"/>
      <c r="E3089" s="33"/>
      <c r="F3089" s="43" t="s">
        <v>560</v>
      </c>
      <c r="G3089" s="34" t="str">
        <f t="shared" si="53"/>
        <v/>
      </c>
      <c r="H3089" s="35"/>
      <c r="I3089" s="31"/>
      <c r="J3089" s="155">
        <v>0</v>
      </c>
    </row>
    <row r="3090" spans="1:10" ht="15" hidden="1" thickBot="1" x14ac:dyDescent="0.35">
      <c r="A3090" s="227"/>
      <c r="B3090" s="224"/>
      <c r="C3090" s="36" t="s">
        <v>23</v>
      </c>
      <c r="D3090" s="36" t="s">
        <v>12</v>
      </c>
      <c r="E3090" s="37">
        <v>2.9209999999999998</v>
      </c>
      <c r="F3090" s="34">
        <v>14.968499999999999</v>
      </c>
      <c r="G3090" s="34">
        <f t="shared" si="53"/>
        <v>43.722988499999992</v>
      </c>
      <c r="H3090" s="39">
        <f>SUM(G3090:G3090)</f>
        <v>43.722988499999992</v>
      </c>
      <c r="I3090" s="40"/>
      <c r="J3090" s="155">
        <v>0</v>
      </c>
    </row>
    <row r="3091" spans="1:10" ht="15" hidden="1" thickBot="1" x14ac:dyDescent="0.35">
      <c r="A3091" s="227"/>
      <c r="B3091" s="224"/>
      <c r="C3091" s="36"/>
      <c r="D3091" s="36"/>
      <c r="E3091" s="37"/>
      <c r="F3091" s="31" t="s">
        <v>560</v>
      </c>
      <c r="G3091" s="34" t="str">
        <f t="shared" si="53"/>
        <v/>
      </c>
      <c r="H3091" s="35"/>
      <c r="I3091" s="31"/>
      <c r="J3091" s="155">
        <v>0</v>
      </c>
    </row>
    <row r="3092" spans="1:10" ht="15" hidden="1" thickBot="1" x14ac:dyDescent="0.35">
      <c r="A3092" s="227"/>
      <c r="B3092" s="224"/>
      <c r="C3092" s="52" t="s">
        <v>932</v>
      </c>
      <c r="D3092" s="36"/>
      <c r="E3092" s="37"/>
      <c r="F3092" s="31" t="s">
        <v>560</v>
      </c>
      <c r="G3092" s="34" t="str">
        <f t="shared" si="53"/>
        <v/>
      </c>
      <c r="H3092" s="35"/>
      <c r="I3092" s="31"/>
      <c r="J3092" s="155">
        <v>0</v>
      </c>
    </row>
    <row r="3093" spans="1:10" ht="15" hidden="1" thickBot="1" x14ac:dyDescent="0.35">
      <c r="A3093" s="228"/>
      <c r="B3093" s="225"/>
      <c r="C3093" s="36"/>
      <c r="D3093" s="36"/>
      <c r="E3093" s="37"/>
      <c r="F3093" s="31" t="s">
        <v>560</v>
      </c>
      <c r="G3093" s="34" t="str">
        <f t="shared" si="53"/>
        <v/>
      </c>
      <c r="H3093" s="35"/>
      <c r="I3093" s="31"/>
      <c r="J3093" s="155">
        <v>0</v>
      </c>
    </row>
    <row r="3094" spans="1:10" ht="15" hidden="1" thickBot="1" x14ac:dyDescent="0.35">
      <c r="A3094" s="226" t="s">
        <v>963</v>
      </c>
      <c r="B3094" s="223" t="e">
        <f>INDEX(#REF!,MATCH(Composições!A3094,#REF!,0),2)</f>
        <v>#REF!</v>
      </c>
      <c r="C3094" s="41"/>
      <c r="D3094" s="26" t="e">
        <f>TRIM(INDEX(#REF!,MATCH(Composições!A3094,#REF!,0),1))</f>
        <v>#REF!</v>
      </c>
      <c r="E3094" s="27"/>
      <c r="F3094" s="42" t="s">
        <v>560</v>
      </c>
      <c r="G3094" s="28" t="str">
        <f t="shared" si="53"/>
        <v/>
      </c>
      <c r="H3094" s="29"/>
      <c r="I3094" s="30"/>
      <c r="J3094" s="155">
        <v>0</v>
      </c>
    </row>
    <row r="3095" spans="1:10" ht="15" hidden="1" thickBot="1" x14ac:dyDescent="0.35">
      <c r="A3095" s="229"/>
      <c r="B3095" s="224"/>
      <c r="C3095" s="32"/>
      <c r="D3095" s="32"/>
      <c r="E3095" s="33"/>
      <c r="F3095" s="43" t="s">
        <v>560</v>
      </c>
      <c r="G3095" s="34" t="str">
        <f t="shared" si="53"/>
        <v/>
      </c>
      <c r="H3095" s="35"/>
      <c r="I3095" s="31"/>
      <c r="J3095" s="155">
        <v>0</v>
      </c>
    </row>
    <row r="3096" spans="1:10" ht="15" hidden="1" thickBot="1" x14ac:dyDescent="0.35">
      <c r="A3096" s="229"/>
      <c r="B3096" s="224"/>
      <c r="C3096" s="36" t="s">
        <v>68</v>
      </c>
      <c r="D3096" s="36" t="s">
        <v>12</v>
      </c>
      <c r="E3096" s="37">
        <v>1.5</v>
      </c>
      <c r="F3096" s="34">
        <v>18.861499999999999</v>
      </c>
      <c r="G3096" s="34">
        <f t="shared" si="53"/>
        <v>28.292249999999999</v>
      </c>
      <c r="H3096" s="39">
        <f>SUM(G3096:G3098)</f>
        <v>100.86525</v>
      </c>
      <c r="I3096" s="40"/>
      <c r="J3096" s="155">
        <v>0</v>
      </c>
    </row>
    <row r="3097" spans="1:10" ht="15" hidden="1" thickBot="1" x14ac:dyDescent="0.35">
      <c r="A3097" s="229"/>
      <c r="B3097" s="224"/>
      <c r="C3097" s="36" t="s">
        <v>23</v>
      </c>
      <c r="D3097" s="36" t="s">
        <v>12</v>
      </c>
      <c r="E3097" s="37">
        <v>1</v>
      </c>
      <c r="F3097" s="34">
        <v>14.968499999999999</v>
      </c>
      <c r="G3097" s="34">
        <f t="shared" si="53"/>
        <v>14.968499999999999</v>
      </c>
      <c r="H3097" s="35"/>
      <c r="I3097" s="31"/>
      <c r="J3097" s="155">
        <v>0</v>
      </c>
    </row>
    <row r="3098" spans="1:10" ht="15" hidden="1" thickBot="1" x14ac:dyDescent="0.35">
      <c r="A3098" s="229"/>
      <c r="B3098" s="224"/>
      <c r="C3098" s="36" t="s">
        <v>964</v>
      </c>
      <c r="D3098" s="36" t="s">
        <v>95</v>
      </c>
      <c r="E3098" s="37">
        <v>1</v>
      </c>
      <c r="F3098" s="31">
        <v>57.604499999999994</v>
      </c>
      <c r="G3098" s="34">
        <f t="shared" si="53"/>
        <v>57.604499999999994</v>
      </c>
      <c r="H3098" s="35"/>
      <c r="I3098" s="31"/>
      <c r="J3098" s="155">
        <v>0</v>
      </c>
    </row>
    <row r="3099" spans="1:10" ht="15" hidden="1" thickBot="1" x14ac:dyDescent="0.35">
      <c r="A3099" s="230"/>
      <c r="B3099" s="225"/>
      <c r="C3099" s="36"/>
      <c r="D3099" s="36"/>
      <c r="E3099" s="37"/>
      <c r="F3099" s="31" t="s">
        <v>560</v>
      </c>
      <c r="G3099" s="34" t="str">
        <f t="shared" si="53"/>
        <v/>
      </c>
      <c r="H3099" s="35"/>
      <c r="I3099" s="31"/>
      <c r="J3099" s="155">
        <v>0</v>
      </c>
    </row>
    <row r="3100" spans="1:10" ht="15" hidden="1" thickBot="1" x14ac:dyDescent="0.35">
      <c r="A3100" s="226" t="s">
        <v>965</v>
      </c>
      <c r="B3100" s="223" t="e">
        <f>INDEX(#REF!,MATCH(Composições!A3100,#REF!,0),2)</f>
        <v>#REF!</v>
      </c>
      <c r="C3100" s="41"/>
      <c r="D3100" s="26" t="e">
        <f>TRIM(INDEX(#REF!,MATCH(Composições!A3100,#REF!,0),1))</f>
        <v>#REF!</v>
      </c>
      <c r="E3100" s="27"/>
      <c r="F3100" s="42" t="s">
        <v>560</v>
      </c>
      <c r="G3100" s="28" t="str">
        <f t="shared" si="53"/>
        <v/>
      </c>
      <c r="H3100" s="29"/>
      <c r="I3100" s="30"/>
      <c r="J3100" s="155">
        <v>0</v>
      </c>
    </row>
    <row r="3101" spans="1:10" ht="15" hidden="1" thickBot="1" x14ac:dyDescent="0.35">
      <c r="A3101" s="229"/>
      <c r="B3101" s="224"/>
      <c r="C3101" s="32"/>
      <c r="D3101" s="32"/>
      <c r="E3101" s="33"/>
      <c r="F3101" s="43" t="s">
        <v>560</v>
      </c>
      <c r="G3101" s="34" t="str">
        <f t="shared" si="53"/>
        <v/>
      </c>
      <c r="H3101" s="35"/>
      <c r="I3101" s="31"/>
      <c r="J3101" s="155">
        <v>0</v>
      </c>
    </row>
    <row r="3102" spans="1:10" ht="15" hidden="1" thickBot="1" x14ac:dyDescent="0.35">
      <c r="A3102" s="229"/>
      <c r="B3102" s="224"/>
      <c r="C3102" s="36" t="s">
        <v>68</v>
      </c>
      <c r="D3102" s="36" t="s">
        <v>12</v>
      </c>
      <c r="E3102" s="37">
        <v>1.5</v>
      </c>
      <c r="F3102" s="34">
        <v>18.861499999999999</v>
      </c>
      <c r="G3102" s="34">
        <f t="shared" si="53"/>
        <v>28.292249999999999</v>
      </c>
      <c r="H3102" s="39">
        <f>SUM(G3102:G3104)</f>
        <v>142.75324999999998</v>
      </c>
      <c r="I3102" s="40"/>
      <c r="J3102" s="155">
        <v>0</v>
      </c>
    </row>
    <row r="3103" spans="1:10" ht="15" hidden="1" thickBot="1" x14ac:dyDescent="0.35">
      <c r="A3103" s="229"/>
      <c r="B3103" s="224"/>
      <c r="C3103" s="36" t="s">
        <v>23</v>
      </c>
      <c r="D3103" s="36" t="s">
        <v>12</v>
      </c>
      <c r="E3103" s="37">
        <v>1</v>
      </c>
      <c r="F3103" s="34">
        <v>14.968499999999999</v>
      </c>
      <c r="G3103" s="34">
        <f t="shared" si="53"/>
        <v>14.968499999999999</v>
      </c>
      <c r="H3103" s="35"/>
      <c r="I3103" s="31"/>
      <c r="J3103" s="155">
        <v>0</v>
      </c>
    </row>
    <row r="3104" spans="1:10" ht="15" hidden="1" thickBot="1" x14ac:dyDescent="0.35">
      <c r="A3104" s="229"/>
      <c r="B3104" s="224"/>
      <c r="C3104" s="36" t="s">
        <v>966</v>
      </c>
      <c r="D3104" s="36" t="s">
        <v>95</v>
      </c>
      <c r="E3104" s="37">
        <v>1</v>
      </c>
      <c r="F3104" s="31">
        <v>99.492499999999993</v>
      </c>
      <c r="G3104" s="34">
        <f t="shared" si="53"/>
        <v>99.492499999999993</v>
      </c>
      <c r="H3104" s="35"/>
      <c r="I3104" s="31"/>
      <c r="J3104" s="155">
        <v>0</v>
      </c>
    </row>
    <row r="3105" spans="1:10" ht="15" hidden="1" thickBot="1" x14ac:dyDescent="0.35">
      <c r="A3105" s="230"/>
      <c r="B3105" s="225"/>
      <c r="C3105" s="36"/>
      <c r="D3105" s="36"/>
      <c r="E3105" s="37"/>
      <c r="F3105" s="31" t="s">
        <v>560</v>
      </c>
      <c r="G3105" s="34" t="str">
        <f t="shared" si="53"/>
        <v/>
      </c>
      <c r="H3105" s="35"/>
      <c r="I3105" s="31"/>
      <c r="J3105" s="155">
        <v>0</v>
      </c>
    </row>
    <row r="3106" spans="1:10" ht="15" hidden="1" thickBot="1" x14ac:dyDescent="0.35">
      <c r="A3106" s="226" t="s">
        <v>967</v>
      </c>
      <c r="B3106" s="223" t="e">
        <f>INDEX(#REF!,MATCH(Composições!A3106,#REF!,0),2)</f>
        <v>#REF!</v>
      </c>
      <c r="C3106" s="41"/>
      <c r="D3106" s="26" t="e">
        <f>TRIM(INDEX(#REF!,MATCH(Composições!A3106,#REF!,0),1))</f>
        <v>#REF!</v>
      </c>
      <c r="E3106" s="27"/>
      <c r="F3106" s="42" t="s">
        <v>560</v>
      </c>
      <c r="G3106" s="28" t="str">
        <f t="shared" si="53"/>
        <v/>
      </c>
      <c r="H3106" s="29"/>
      <c r="I3106" s="30"/>
      <c r="J3106" s="155">
        <v>0</v>
      </c>
    </row>
    <row r="3107" spans="1:10" ht="15" hidden="1" thickBot="1" x14ac:dyDescent="0.35">
      <c r="A3107" s="229"/>
      <c r="B3107" s="224"/>
      <c r="C3107" s="32"/>
      <c r="D3107" s="32"/>
      <c r="E3107" s="33"/>
      <c r="F3107" s="43" t="s">
        <v>560</v>
      </c>
      <c r="G3107" s="34" t="str">
        <f t="shared" si="53"/>
        <v/>
      </c>
      <c r="H3107" s="35"/>
      <c r="I3107" s="31"/>
      <c r="J3107" s="155">
        <v>0</v>
      </c>
    </row>
    <row r="3108" spans="1:10" ht="15" hidden="1" thickBot="1" x14ac:dyDescent="0.35">
      <c r="A3108" s="229"/>
      <c r="B3108" s="224"/>
      <c r="C3108" s="36" t="s">
        <v>68</v>
      </c>
      <c r="D3108" s="50" t="s">
        <v>12</v>
      </c>
      <c r="E3108" s="37">
        <v>0.5</v>
      </c>
      <c r="F3108" s="34">
        <v>18.861499999999999</v>
      </c>
      <c r="G3108" s="34">
        <f t="shared" si="53"/>
        <v>9.4307499999999997</v>
      </c>
      <c r="H3108" s="39">
        <f>SUM(G3108:G3110)</f>
        <v>21.961874999999999</v>
      </c>
      <c r="I3108" s="40"/>
      <c r="J3108" s="155">
        <v>0</v>
      </c>
    </row>
    <row r="3109" spans="1:10" ht="15" hidden="1" thickBot="1" x14ac:dyDescent="0.35">
      <c r="A3109" s="229"/>
      <c r="B3109" s="224"/>
      <c r="C3109" s="36" t="s">
        <v>23</v>
      </c>
      <c r="D3109" s="36" t="s">
        <v>12</v>
      </c>
      <c r="E3109" s="37">
        <v>0.25</v>
      </c>
      <c r="F3109" s="34">
        <v>14.968499999999999</v>
      </c>
      <c r="G3109" s="34">
        <f t="shared" si="53"/>
        <v>3.7421249999999997</v>
      </c>
      <c r="H3109" s="35"/>
      <c r="I3109" s="31"/>
      <c r="J3109" s="155">
        <v>0</v>
      </c>
    </row>
    <row r="3110" spans="1:10" ht="15" hidden="1" thickBot="1" x14ac:dyDescent="0.35">
      <c r="A3110" s="229"/>
      <c r="B3110" s="224"/>
      <c r="C3110" s="36" t="s">
        <v>302</v>
      </c>
      <c r="D3110" s="36" t="s">
        <v>836</v>
      </c>
      <c r="E3110" s="37">
        <v>2</v>
      </c>
      <c r="F3110" s="31">
        <v>4.3944999999999999</v>
      </c>
      <c r="G3110" s="34">
        <f t="shared" si="53"/>
        <v>8.7889999999999997</v>
      </c>
      <c r="H3110" s="35"/>
      <c r="I3110" s="31"/>
      <c r="J3110" s="155">
        <v>0</v>
      </c>
    </row>
    <row r="3111" spans="1:10" ht="15" hidden="1" thickBot="1" x14ac:dyDescent="0.35">
      <c r="A3111" s="230"/>
      <c r="B3111" s="225"/>
      <c r="C3111" s="36"/>
      <c r="D3111" s="36"/>
      <c r="E3111" s="37"/>
      <c r="F3111" s="31" t="s">
        <v>560</v>
      </c>
      <c r="G3111" s="34" t="str">
        <f t="shared" si="53"/>
        <v/>
      </c>
      <c r="H3111" s="35"/>
      <c r="I3111" s="31"/>
      <c r="J3111" s="155">
        <v>0</v>
      </c>
    </row>
    <row r="3112" spans="1:10" ht="15" hidden="1" thickBot="1" x14ac:dyDescent="0.35">
      <c r="A3112" s="226" t="s">
        <v>968</v>
      </c>
      <c r="B3112" s="223" t="e">
        <f>INDEX(#REF!,MATCH(Composições!A3112,#REF!,0),2)</f>
        <v>#REF!</v>
      </c>
      <c r="C3112" s="41"/>
      <c r="D3112" s="26" t="e">
        <f>TRIM(INDEX(#REF!,MATCH(Composições!A3112,#REF!,0),1))</f>
        <v>#REF!</v>
      </c>
      <c r="E3112" s="27"/>
      <c r="F3112" s="42" t="s">
        <v>560</v>
      </c>
      <c r="G3112" s="28" t="str">
        <f t="shared" si="53"/>
        <v/>
      </c>
      <c r="H3112" s="29"/>
      <c r="I3112" s="30"/>
      <c r="J3112" s="155">
        <v>0</v>
      </c>
    </row>
    <row r="3113" spans="1:10" ht="15" hidden="1" thickBot="1" x14ac:dyDescent="0.35">
      <c r="A3113" s="229"/>
      <c r="B3113" s="224"/>
      <c r="C3113" s="32"/>
      <c r="D3113" s="32"/>
      <c r="E3113" s="33"/>
      <c r="F3113" s="43" t="s">
        <v>560</v>
      </c>
      <c r="G3113" s="34" t="str">
        <f t="shared" si="53"/>
        <v/>
      </c>
      <c r="H3113" s="35"/>
      <c r="I3113" s="31"/>
      <c r="J3113" s="155">
        <v>0</v>
      </c>
    </row>
    <row r="3114" spans="1:10" ht="15" hidden="1" thickBot="1" x14ac:dyDescent="0.35">
      <c r="A3114" s="229"/>
      <c r="B3114" s="224"/>
      <c r="C3114" s="36" t="s">
        <v>23</v>
      </c>
      <c r="D3114" s="36" t="s">
        <v>12</v>
      </c>
      <c r="E3114" s="37">
        <v>1</v>
      </c>
      <c r="F3114" s="34">
        <v>14.968499999999999</v>
      </c>
      <c r="G3114" s="34">
        <f t="shared" si="53"/>
        <v>14.968499999999999</v>
      </c>
      <c r="H3114" s="39">
        <f>SUM(G3114:G3115)</f>
        <v>43.260750000000002</v>
      </c>
      <c r="I3114" s="40"/>
      <c r="J3114" s="155">
        <v>0</v>
      </c>
    </row>
    <row r="3115" spans="1:10" ht="15" hidden="1" thickBot="1" x14ac:dyDescent="0.35">
      <c r="A3115" s="229"/>
      <c r="B3115" s="224"/>
      <c r="C3115" s="36" t="s">
        <v>68</v>
      </c>
      <c r="D3115" s="36" t="s">
        <v>12</v>
      </c>
      <c r="E3115" s="37">
        <v>1.5</v>
      </c>
      <c r="F3115" s="34">
        <v>18.861499999999999</v>
      </c>
      <c r="G3115" s="34">
        <f t="shared" si="53"/>
        <v>28.292249999999999</v>
      </c>
      <c r="H3115" s="35"/>
      <c r="I3115" s="31"/>
      <c r="J3115" s="155">
        <v>0</v>
      </c>
    </row>
    <row r="3116" spans="1:10" ht="15" hidden="1" thickBot="1" x14ac:dyDescent="0.35">
      <c r="A3116" s="230"/>
      <c r="B3116" s="225"/>
      <c r="C3116" s="36"/>
      <c r="D3116" s="36"/>
      <c r="E3116" s="37"/>
      <c r="F3116" s="31" t="s">
        <v>560</v>
      </c>
      <c r="G3116" s="34" t="str">
        <f t="shared" si="53"/>
        <v/>
      </c>
      <c r="H3116" s="35"/>
      <c r="I3116" s="31"/>
      <c r="J3116" s="155">
        <v>0</v>
      </c>
    </row>
    <row r="3117" spans="1:10" ht="15" hidden="1" thickBot="1" x14ac:dyDescent="0.35">
      <c r="A3117" s="226" t="s">
        <v>970</v>
      </c>
      <c r="B3117" s="223" t="e">
        <f>INDEX(#REF!,MATCH(Composições!A3117,#REF!,0),2)</f>
        <v>#REF!</v>
      </c>
      <c r="C3117" s="41"/>
      <c r="D3117" s="26" t="e">
        <f>TRIM(INDEX(#REF!,MATCH(Composições!A3117,#REF!,0),1))</f>
        <v>#REF!</v>
      </c>
      <c r="E3117" s="27"/>
      <c r="F3117" s="42" t="s">
        <v>560</v>
      </c>
      <c r="G3117" s="28" t="str">
        <f t="shared" si="53"/>
        <v/>
      </c>
      <c r="H3117" s="29"/>
      <c r="I3117" s="30"/>
      <c r="J3117" s="155">
        <v>0</v>
      </c>
    </row>
    <row r="3118" spans="1:10" ht="15" hidden="1" thickBot="1" x14ac:dyDescent="0.35">
      <c r="A3118" s="229"/>
      <c r="B3118" s="224"/>
      <c r="C3118" s="32"/>
      <c r="D3118" s="32"/>
      <c r="E3118" s="33"/>
      <c r="F3118" s="43" t="s">
        <v>560</v>
      </c>
      <c r="G3118" s="34" t="str">
        <f t="shared" si="53"/>
        <v/>
      </c>
      <c r="H3118" s="35"/>
      <c r="I3118" s="31"/>
      <c r="J3118" s="155">
        <v>0</v>
      </c>
    </row>
    <row r="3119" spans="1:10" ht="15" hidden="1" thickBot="1" x14ac:dyDescent="0.35">
      <c r="A3119" s="229"/>
      <c r="B3119" s="224"/>
      <c r="C3119" s="36" t="s">
        <v>971</v>
      </c>
      <c r="D3119" s="47" t="s">
        <v>95</v>
      </c>
      <c r="E3119" s="37">
        <v>1</v>
      </c>
      <c r="F3119" s="34" t="s">
        <v>560</v>
      </c>
      <c r="G3119" s="34" t="str">
        <f t="shared" si="53"/>
        <v/>
      </c>
      <c r="H3119" s="39">
        <f>SUM(G3119:G3121)</f>
        <v>43.260750000000002</v>
      </c>
      <c r="I3119" s="40"/>
      <c r="J3119" s="155">
        <v>0</v>
      </c>
    </row>
    <row r="3120" spans="1:10" ht="15" hidden="1" thickBot="1" x14ac:dyDescent="0.35">
      <c r="A3120" s="229"/>
      <c r="B3120" s="224"/>
      <c r="C3120" s="36" t="s">
        <v>23</v>
      </c>
      <c r="D3120" s="47" t="s">
        <v>12</v>
      </c>
      <c r="E3120" s="37">
        <v>1</v>
      </c>
      <c r="F3120" s="31">
        <v>14.968499999999999</v>
      </c>
      <c r="G3120" s="34">
        <f t="shared" si="53"/>
        <v>14.968499999999999</v>
      </c>
      <c r="H3120" s="35"/>
      <c r="I3120" s="31"/>
      <c r="J3120" s="155">
        <v>0</v>
      </c>
    </row>
    <row r="3121" spans="1:10" ht="15" hidden="1" thickBot="1" x14ac:dyDescent="0.35">
      <c r="A3121" s="229"/>
      <c r="B3121" s="224"/>
      <c r="C3121" s="36" t="s">
        <v>68</v>
      </c>
      <c r="D3121" s="47" t="s">
        <v>12</v>
      </c>
      <c r="E3121" s="37">
        <v>1.5</v>
      </c>
      <c r="F3121" s="31">
        <v>18.861499999999999</v>
      </c>
      <c r="G3121" s="34">
        <f t="shared" si="53"/>
        <v>28.292249999999999</v>
      </c>
      <c r="H3121" s="35"/>
      <c r="I3121" s="31"/>
      <c r="J3121" s="155">
        <v>0</v>
      </c>
    </row>
    <row r="3122" spans="1:10" ht="15" hidden="1" thickBot="1" x14ac:dyDescent="0.35">
      <c r="A3122" s="230"/>
      <c r="B3122" s="225"/>
      <c r="C3122" s="36"/>
      <c r="D3122" s="36"/>
      <c r="E3122" s="37"/>
      <c r="F3122" s="31" t="s">
        <v>560</v>
      </c>
      <c r="G3122" s="34" t="str">
        <f t="shared" si="53"/>
        <v/>
      </c>
      <c r="H3122" s="35"/>
      <c r="I3122" s="31"/>
      <c r="J3122" s="155">
        <v>0</v>
      </c>
    </row>
    <row r="3123" spans="1:10" ht="15" hidden="1" thickBot="1" x14ac:dyDescent="0.35">
      <c r="A3123" s="226" t="s">
        <v>972</v>
      </c>
      <c r="B3123" s="223" t="e">
        <f>INDEX(#REF!,MATCH(Composições!A3123,#REF!,0),2)</f>
        <v>#REF!</v>
      </c>
      <c r="C3123" s="41"/>
      <c r="D3123" s="26" t="e">
        <f>TRIM(INDEX(#REF!,MATCH(Composições!A3123,#REF!,0),1))</f>
        <v>#REF!</v>
      </c>
      <c r="E3123" s="27"/>
      <c r="F3123" s="42" t="s">
        <v>560</v>
      </c>
      <c r="G3123" s="28" t="str">
        <f t="shared" si="53"/>
        <v/>
      </c>
      <c r="H3123" s="29"/>
      <c r="I3123" s="30"/>
      <c r="J3123" s="155">
        <v>0</v>
      </c>
    </row>
    <row r="3124" spans="1:10" ht="15" hidden="1" thickBot="1" x14ac:dyDescent="0.35">
      <c r="A3124" s="229"/>
      <c r="B3124" s="224"/>
      <c r="C3124" s="32"/>
      <c r="D3124" s="32"/>
      <c r="E3124" s="33"/>
      <c r="F3124" s="43" t="s">
        <v>560</v>
      </c>
      <c r="G3124" s="34" t="str">
        <f t="shared" si="53"/>
        <v/>
      </c>
      <c r="H3124" s="35"/>
      <c r="I3124" s="31"/>
      <c r="J3124" s="155">
        <v>0</v>
      </c>
    </row>
    <row r="3125" spans="1:10" ht="15" hidden="1" thickBot="1" x14ac:dyDescent="0.35">
      <c r="A3125" s="229"/>
      <c r="B3125" s="224"/>
      <c r="C3125" s="36" t="s">
        <v>68</v>
      </c>
      <c r="D3125" s="36" t="s">
        <v>12</v>
      </c>
      <c r="E3125" s="37">
        <v>0.1</v>
      </c>
      <c r="F3125" s="34">
        <v>18.861499999999999</v>
      </c>
      <c r="G3125" s="34">
        <f t="shared" si="53"/>
        <v>1.88615</v>
      </c>
      <c r="H3125" s="39">
        <f>SUM(G3125:G3126)</f>
        <v>5.7281499999999994</v>
      </c>
      <c r="I3125" s="40"/>
      <c r="J3125" s="155">
        <v>0</v>
      </c>
    </row>
    <row r="3126" spans="1:10" ht="27" hidden="1" thickBot="1" x14ac:dyDescent="0.35">
      <c r="A3126" s="229"/>
      <c r="B3126" s="224"/>
      <c r="C3126" s="36" t="s">
        <v>969</v>
      </c>
      <c r="D3126" s="36" t="s">
        <v>20</v>
      </c>
      <c r="E3126" s="37">
        <v>1</v>
      </c>
      <c r="F3126" s="31">
        <v>3.8419999999999996</v>
      </c>
      <c r="G3126" s="34">
        <f t="shared" si="53"/>
        <v>3.8419999999999996</v>
      </c>
      <c r="H3126" s="35"/>
      <c r="I3126" s="31"/>
      <c r="J3126" s="155">
        <v>0</v>
      </c>
    </row>
    <row r="3127" spans="1:10" ht="15" hidden="1" thickBot="1" x14ac:dyDescent="0.35">
      <c r="A3127" s="230"/>
      <c r="B3127" s="225"/>
      <c r="C3127" s="36"/>
      <c r="D3127" s="36"/>
      <c r="E3127" s="37"/>
      <c r="F3127" s="31" t="s">
        <v>560</v>
      </c>
      <c r="G3127" s="34" t="str">
        <f t="shared" si="53"/>
        <v/>
      </c>
      <c r="H3127" s="35"/>
      <c r="I3127" s="31"/>
      <c r="J3127" s="155">
        <v>0</v>
      </c>
    </row>
    <row r="3128" spans="1:10" ht="15" hidden="1" thickBot="1" x14ac:dyDescent="0.35">
      <c r="A3128" s="226" t="s">
        <v>973</v>
      </c>
      <c r="B3128" s="223" t="e">
        <f>INDEX(#REF!,MATCH(Composições!A3128,#REF!,0),2)</f>
        <v>#REF!</v>
      </c>
      <c r="C3128" s="41"/>
      <c r="D3128" s="26" t="e">
        <f>TRIM(INDEX(#REF!,MATCH(Composições!A3128,#REF!,0),1))</f>
        <v>#REF!</v>
      </c>
      <c r="E3128" s="27"/>
      <c r="F3128" s="42" t="s">
        <v>560</v>
      </c>
      <c r="G3128" s="28" t="str">
        <f t="shared" si="53"/>
        <v/>
      </c>
      <c r="H3128" s="29"/>
      <c r="I3128" s="30"/>
      <c r="J3128" s="155">
        <v>0</v>
      </c>
    </row>
    <row r="3129" spans="1:10" ht="15" hidden="1" thickBot="1" x14ac:dyDescent="0.35">
      <c r="A3129" s="229"/>
      <c r="B3129" s="224"/>
      <c r="C3129" s="32"/>
      <c r="D3129" s="32"/>
      <c r="E3129" s="33"/>
      <c r="F3129" s="43" t="s">
        <v>560</v>
      </c>
      <c r="G3129" s="34" t="str">
        <f t="shared" si="53"/>
        <v/>
      </c>
      <c r="H3129" s="35"/>
      <c r="I3129" s="31"/>
      <c r="J3129" s="155">
        <v>0</v>
      </c>
    </row>
    <row r="3130" spans="1:10" ht="15" hidden="1" thickBot="1" x14ac:dyDescent="0.35">
      <c r="A3130" s="229"/>
      <c r="B3130" s="224"/>
      <c r="C3130" s="36" t="s">
        <v>752</v>
      </c>
      <c r="D3130" s="47" t="s">
        <v>744</v>
      </c>
      <c r="E3130" s="37">
        <v>4.7313999999999998</v>
      </c>
      <c r="F3130" s="31">
        <v>20.314999999999998</v>
      </c>
      <c r="G3130" s="34">
        <f t="shared" si="53"/>
        <v>96.118390999999988</v>
      </c>
      <c r="H3130" s="39">
        <f>SUM(G3130:G3132)</f>
        <v>2664.3369730999998</v>
      </c>
      <c r="I3130" s="40"/>
      <c r="J3130" s="155">
        <v>0</v>
      </c>
    </row>
    <row r="3131" spans="1:10" ht="15" hidden="1" thickBot="1" x14ac:dyDescent="0.35">
      <c r="A3131" s="229"/>
      <c r="B3131" s="224"/>
      <c r="C3131" s="36" t="s">
        <v>745</v>
      </c>
      <c r="D3131" s="47" t="s">
        <v>744</v>
      </c>
      <c r="E3131" s="37">
        <v>3.3466</v>
      </c>
      <c r="F3131" s="31">
        <v>14.968499999999999</v>
      </c>
      <c r="G3131" s="34">
        <f t="shared" si="53"/>
        <v>50.093582099999999</v>
      </c>
      <c r="H3131" s="35"/>
      <c r="I3131" s="31"/>
      <c r="J3131" s="155">
        <v>0</v>
      </c>
    </row>
    <row r="3132" spans="1:10" ht="15" hidden="1" thickBot="1" x14ac:dyDescent="0.35">
      <c r="A3132" s="229"/>
      <c r="B3132" s="224"/>
      <c r="C3132" s="36" t="s">
        <v>974</v>
      </c>
      <c r="D3132" s="47" t="s">
        <v>939</v>
      </c>
      <c r="E3132" s="37">
        <v>1875</v>
      </c>
      <c r="F3132" s="31">
        <v>1.343</v>
      </c>
      <c r="G3132" s="34">
        <f t="shared" si="53"/>
        <v>2518.125</v>
      </c>
      <c r="H3132" s="35"/>
      <c r="I3132" s="31"/>
      <c r="J3132" s="155">
        <v>0</v>
      </c>
    </row>
    <row r="3133" spans="1:10" ht="15" hidden="1" thickBot="1" x14ac:dyDescent="0.35">
      <c r="A3133" s="230"/>
      <c r="B3133" s="225"/>
      <c r="C3133" s="36"/>
      <c r="D3133" s="36"/>
      <c r="E3133" s="37"/>
      <c r="F3133" s="31" t="s">
        <v>560</v>
      </c>
      <c r="G3133" s="34" t="str">
        <f t="shared" si="53"/>
        <v/>
      </c>
      <c r="H3133" s="35"/>
      <c r="I3133" s="31"/>
      <c r="J3133" s="155">
        <v>0</v>
      </c>
    </row>
    <row r="3134" spans="1:10" ht="15" thickBot="1" x14ac:dyDescent="0.35">
      <c r="A3134" s="226" t="s">
        <v>975</v>
      </c>
      <c r="B3134" s="223" t="str">
        <f>INDEX(Orçamentária!A:B,MATCH(Composições!A3134,Orçamentária!A:A,0),2)</f>
        <v>Armação de aço CA-50 bitolas de 10,0 mm a 12,5 mm</v>
      </c>
      <c r="C3134" s="41"/>
      <c r="D3134" s="26" t="str">
        <f>TRIM(INDEX(Orçamentária!C:C,MATCH(Composições!A3134,Orçamentária!A:A,0),1))</f>
        <v>kg</v>
      </c>
      <c r="E3134" s="27"/>
      <c r="F3134" s="42" t="s">
        <v>560</v>
      </c>
      <c r="G3134" s="28" t="str">
        <f t="shared" si="53"/>
        <v/>
      </c>
      <c r="H3134" s="29"/>
      <c r="I3134" s="30"/>
      <c r="J3134" s="155">
        <v>3199.45</v>
      </c>
    </row>
    <row r="3135" spans="1:10" x14ac:dyDescent="0.3">
      <c r="A3135" s="229"/>
      <c r="B3135" s="224"/>
      <c r="C3135" s="32"/>
      <c r="D3135" s="32"/>
      <c r="E3135" s="33"/>
      <c r="F3135" s="43" t="s">
        <v>560</v>
      </c>
      <c r="G3135" s="34" t="str">
        <f t="shared" si="53"/>
        <v/>
      </c>
      <c r="H3135" s="35"/>
      <c r="I3135" s="31"/>
      <c r="J3135" s="155">
        <v>3199.45</v>
      </c>
    </row>
    <row r="3136" spans="1:10" ht="26.4" x14ac:dyDescent="0.3">
      <c r="A3136" s="229"/>
      <c r="B3136" s="224"/>
      <c r="C3136" s="36" t="s">
        <v>1912</v>
      </c>
      <c r="D3136" s="47" t="s">
        <v>939</v>
      </c>
      <c r="E3136" s="37">
        <v>2.5000000000000001E-2</v>
      </c>
      <c r="F3136" s="31">
        <v>19.465</v>
      </c>
      <c r="G3136" s="34">
        <f t="shared" si="53"/>
        <v>0.48662500000000003</v>
      </c>
      <c r="H3136" s="39">
        <f>SUM(G3136:G3140)</f>
        <v>12.243340500000002</v>
      </c>
      <c r="I3136" s="40"/>
      <c r="J3136" s="155">
        <v>3199.45</v>
      </c>
    </row>
    <row r="3137" spans="1:10" ht="26.4" x14ac:dyDescent="0.3">
      <c r="A3137" s="229"/>
      <c r="B3137" s="224"/>
      <c r="C3137" s="36" t="s">
        <v>940</v>
      </c>
      <c r="D3137" s="47" t="s">
        <v>292</v>
      </c>
      <c r="E3137" s="37">
        <v>0.36699999999999999</v>
      </c>
      <c r="F3137" s="31">
        <v>0.17849999999999999</v>
      </c>
      <c r="G3137" s="34">
        <f t="shared" ref="G3137:G3200" si="54">IF(ISNUMBER(F3137),E3137*F3137,"")</f>
        <v>6.5509499999999998E-2</v>
      </c>
      <c r="H3137" s="35"/>
      <c r="I3137" s="31"/>
      <c r="J3137" s="155">
        <v>3199.45</v>
      </c>
    </row>
    <row r="3138" spans="1:10" x14ac:dyDescent="0.3">
      <c r="A3138" s="229"/>
      <c r="B3138" s="224"/>
      <c r="C3138" s="36" t="s">
        <v>941</v>
      </c>
      <c r="D3138" s="47" t="s">
        <v>744</v>
      </c>
      <c r="E3138" s="37">
        <v>1.14E-2</v>
      </c>
      <c r="F3138" s="31">
        <v>15.674000000000001</v>
      </c>
      <c r="G3138" s="34">
        <f t="shared" si="54"/>
        <v>0.17868360000000003</v>
      </c>
      <c r="H3138" s="35"/>
      <c r="I3138" s="31"/>
      <c r="J3138" s="155">
        <v>3199.45</v>
      </c>
    </row>
    <row r="3139" spans="1:10" x14ac:dyDescent="0.3">
      <c r="A3139" s="229"/>
      <c r="B3139" s="224"/>
      <c r="C3139" s="36" t="s">
        <v>942</v>
      </c>
      <c r="D3139" s="47" t="s">
        <v>744</v>
      </c>
      <c r="E3139" s="37">
        <v>6.9800000000000001E-2</v>
      </c>
      <c r="F3139" s="31">
        <v>20.213000000000001</v>
      </c>
      <c r="G3139" s="34">
        <f t="shared" si="54"/>
        <v>1.4108674000000001</v>
      </c>
      <c r="H3139" s="35"/>
      <c r="I3139" s="31"/>
      <c r="J3139" s="155">
        <v>3199.45</v>
      </c>
    </row>
    <row r="3140" spans="1:10" ht="26.4" x14ac:dyDescent="0.3">
      <c r="A3140" s="229"/>
      <c r="B3140" s="224"/>
      <c r="C3140" s="36" t="s">
        <v>976</v>
      </c>
      <c r="D3140" s="47" t="s">
        <v>939</v>
      </c>
      <c r="E3140" s="37">
        <v>1</v>
      </c>
      <c r="F3140" s="31">
        <v>10.101655000000001</v>
      </c>
      <c r="G3140" s="34">
        <f t="shared" si="54"/>
        <v>10.101655000000001</v>
      </c>
      <c r="H3140" s="35"/>
      <c r="I3140" s="31"/>
      <c r="J3140" s="155">
        <v>3199.45</v>
      </c>
    </row>
    <row r="3141" spans="1:10" ht="15" thickBot="1" x14ac:dyDescent="0.35">
      <c r="A3141" s="230"/>
      <c r="B3141" s="225"/>
      <c r="C3141" s="36"/>
      <c r="D3141" s="36"/>
      <c r="E3141" s="37"/>
      <c r="F3141" s="31" t="s">
        <v>560</v>
      </c>
      <c r="G3141" s="34" t="str">
        <f t="shared" si="54"/>
        <v/>
      </c>
      <c r="H3141" s="35"/>
      <c r="I3141" s="31"/>
      <c r="J3141" s="155">
        <v>3199.45</v>
      </c>
    </row>
    <row r="3142" spans="1:10" ht="15" thickBot="1" x14ac:dyDescent="0.35">
      <c r="A3142" s="226" t="s">
        <v>977</v>
      </c>
      <c r="B3142" s="223" t="str">
        <f>INDEX(Orçamentária!A:B,MATCH(Composições!A3142,Orçamentária!A:A,0),2)</f>
        <v>Armação de aço CA-50 bitolas de 16,0 mm a 25,0 mm</v>
      </c>
      <c r="C3142" s="41"/>
      <c r="D3142" s="26" t="str">
        <f>TRIM(INDEX(Orçamentária!C:C,MATCH(Composições!A3142,Orçamentária!A:A,0),1))</f>
        <v>kg</v>
      </c>
      <c r="E3142" s="27"/>
      <c r="F3142" s="42" t="s">
        <v>560</v>
      </c>
      <c r="G3142" s="28" t="str">
        <f t="shared" si="54"/>
        <v/>
      </c>
      <c r="H3142" s="29"/>
      <c r="I3142" s="30"/>
      <c r="J3142" s="155">
        <v>712.55</v>
      </c>
    </row>
    <row r="3143" spans="1:10" x14ac:dyDescent="0.3">
      <c r="A3143" s="229"/>
      <c r="B3143" s="224"/>
      <c r="C3143" s="32"/>
      <c r="D3143" s="32"/>
      <c r="E3143" s="33"/>
      <c r="F3143" s="43" t="s">
        <v>560</v>
      </c>
      <c r="G3143" s="34" t="str">
        <f t="shared" si="54"/>
        <v/>
      </c>
      <c r="H3143" s="35"/>
      <c r="I3143" s="31"/>
      <c r="J3143" s="155">
        <v>712.55</v>
      </c>
    </row>
    <row r="3144" spans="1:10" ht="26.4" x14ac:dyDescent="0.3">
      <c r="A3144" s="229"/>
      <c r="B3144" s="224"/>
      <c r="C3144" s="36" t="s">
        <v>1912</v>
      </c>
      <c r="D3144" s="47" t="s">
        <v>939</v>
      </c>
      <c r="E3144" s="37">
        <v>2.5000000000000001E-2</v>
      </c>
      <c r="F3144" s="31">
        <v>19.465</v>
      </c>
      <c r="G3144" s="34">
        <f t="shared" si="54"/>
        <v>0.48662500000000003</v>
      </c>
      <c r="H3144" s="39">
        <f>SUM(G3144:G3148)</f>
        <v>13.0311545</v>
      </c>
      <c r="I3144" s="40"/>
      <c r="J3144" s="155">
        <v>712.55</v>
      </c>
    </row>
    <row r="3145" spans="1:10" ht="26.4" x14ac:dyDescent="0.3">
      <c r="A3145" s="229"/>
      <c r="B3145" s="224"/>
      <c r="C3145" s="36" t="s">
        <v>940</v>
      </c>
      <c r="D3145" s="47" t="s">
        <v>292</v>
      </c>
      <c r="E3145" s="37">
        <v>0.113</v>
      </c>
      <c r="F3145" s="31">
        <v>0.17849999999999999</v>
      </c>
      <c r="G3145" s="34">
        <f t="shared" si="54"/>
        <v>2.0170500000000001E-2</v>
      </c>
      <c r="H3145" s="35"/>
      <c r="I3145" s="31"/>
      <c r="J3145" s="155">
        <v>712.55</v>
      </c>
    </row>
    <row r="3146" spans="1:10" x14ac:dyDescent="0.3">
      <c r="A3146" s="229"/>
      <c r="B3146" s="224"/>
      <c r="C3146" s="36" t="s">
        <v>941</v>
      </c>
      <c r="D3146" s="47" t="s">
        <v>744</v>
      </c>
      <c r="E3146" s="37">
        <v>5.1000000000000004E-3</v>
      </c>
      <c r="F3146" s="31">
        <v>15.674000000000001</v>
      </c>
      <c r="G3146" s="34">
        <f t="shared" si="54"/>
        <v>7.9937400000000006E-2</v>
      </c>
      <c r="H3146" s="35"/>
      <c r="I3146" s="31"/>
      <c r="J3146" s="155">
        <v>712.55</v>
      </c>
    </row>
    <row r="3147" spans="1:10" x14ac:dyDescent="0.3">
      <c r="A3147" s="229"/>
      <c r="B3147" s="224"/>
      <c r="C3147" s="36" t="s">
        <v>942</v>
      </c>
      <c r="D3147" s="47" t="s">
        <v>744</v>
      </c>
      <c r="E3147" s="37">
        <v>3.1199999999999999E-2</v>
      </c>
      <c r="F3147" s="31">
        <v>20.213000000000001</v>
      </c>
      <c r="G3147" s="34">
        <f t="shared" si="54"/>
        <v>0.63064560000000003</v>
      </c>
      <c r="H3147" s="35"/>
      <c r="I3147" s="31"/>
      <c r="J3147" s="155">
        <v>712.55</v>
      </c>
    </row>
    <row r="3148" spans="1:10" ht="26.4" x14ac:dyDescent="0.3">
      <c r="A3148" s="229"/>
      <c r="B3148" s="224"/>
      <c r="C3148" s="36" t="s">
        <v>978</v>
      </c>
      <c r="D3148" s="47" t="s">
        <v>939</v>
      </c>
      <c r="E3148" s="37">
        <v>1</v>
      </c>
      <c r="F3148" s="31">
        <v>11.813775999999999</v>
      </c>
      <c r="G3148" s="34">
        <f t="shared" si="54"/>
        <v>11.813775999999999</v>
      </c>
      <c r="H3148" s="35"/>
      <c r="I3148" s="31"/>
      <c r="J3148" s="155">
        <v>712.55</v>
      </c>
    </row>
    <row r="3149" spans="1:10" ht="15" thickBot="1" x14ac:dyDescent="0.35">
      <c r="A3149" s="230"/>
      <c r="B3149" s="225"/>
      <c r="C3149" s="36"/>
      <c r="D3149" s="36"/>
      <c r="E3149" s="37"/>
      <c r="F3149" s="31" t="s">
        <v>560</v>
      </c>
      <c r="G3149" s="34" t="str">
        <f t="shared" si="54"/>
        <v/>
      </c>
      <c r="H3149" s="35"/>
      <c r="I3149" s="31"/>
      <c r="J3149" s="155">
        <v>712.55</v>
      </c>
    </row>
    <row r="3150" spans="1:10" ht="15" hidden="1" thickBot="1" x14ac:dyDescent="0.35">
      <c r="A3150" s="226" t="s">
        <v>979</v>
      </c>
      <c r="B3150" s="223" t="e">
        <f>INDEX(#REF!,MATCH(Composições!A3150,#REF!,0),2)</f>
        <v>#REF!</v>
      </c>
      <c r="C3150" s="41"/>
      <c r="D3150" s="26" t="e">
        <f>TRIM(INDEX(#REF!,MATCH(Composições!A3150,#REF!,0),1))</f>
        <v>#REF!</v>
      </c>
      <c r="E3150" s="27"/>
      <c r="F3150" s="42" t="s">
        <v>560</v>
      </c>
      <c r="G3150" s="28" t="str">
        <f t="shared" si="54"/>
        <v/>
      </c>
      <c r="H3150" s="29"/>
      <c r="I3150" s="30"/>
      <c r="J3150" s="155">
        <v>0</v>
      </c>
    </row>
    <row r="3151" spans="1:10" ht="15" hidden="1" thickBot="1" x14ac:dyDescent="0.35">
      <c r="A3151" s="229"/>
      <c r="B3151" s="224"/>
      <c r="C3151" s="151"/>
      <c r="D3151" s="32"/>
      <c r="E3151" s="33"/>
      <c r="F3151" s="43" t="s">
        <v>560</v>
      </c>
      <c r="G3151" s="34" t="str">
        <f t="shared" si="54"/>
        <v/>
      </c>
      <c r="H3151" s="35"/>
      <c r="I3151" s="31"/>
      <c r="J3151" s="155">
        <v>0</v>
      </c>
    </row>
    <row r="3152" spans="1:10" ht="15" hidden="1" thickBot="1" x14ac:dyDescent="0.35">
      <c r="A3152" s="229"/>
      <c r="B3152" s="224"/>
      <c r="C3152" s="36" t="s">
        <v>23</v>
      </c>
      <c r="D3152" s="47" t="s">
        <v>12</v>
      </c>
      <c r="E3152" s="37">
        <v>0.55000000000000004</v>
      </c>
      <c r="F3152" s="31">
        <v>14.968499999999999</v>
      </c>
      <c r="G3152" s="34">
        <f t="shared" si="54"/>
        <v>8.2326750000000004</v>
      </c>
      <c r="H3152" s="39">
        <f>SUM(G3152:G3153)</f>
        <v>18.6065</v>
      </c>
      <c r="I3152" s="40"/>
      <c r="J3152" s="155">
        <v>0</v>
      </c>
    </row>
    <row r="3153" spans="1:10" ht="15" hidden="1" thickBot="1" x14ac:dyDescent="0.35">
      <c r="A3153" s="229"/>
      <c r="B3153" s="224"/>
      <c r="C3153" s="36" t="s">
        <v>68</v>
      </c>
      <c r="D3153" s="47" t="s">
        <v>12</v>
      </c>
      <c r="E3153" s="37">
        <v>0.55000000000000004</v>
      </c>
      <c r="F3153" s="31">
        <v>18.861499999999999</v>
      </c>
      <c r="G3153" s="34">
        <f t="shared" si="54"/>
        <v>10.373825</v>
      </c>
      <c r="H3153" s="35"/>
      <c r="I3153" s="31"/>
      <c r="J3153" s="155">
        <v>0</v>
      </c>
    </row>
    <row r="3154" spans="1:10" ht="15" hidden="1" thickBot="1" x14ac:dyDescent="0.35">
      <c r="A3154" s="230"/>
      <c r="B3154" s="225"/>
      <c r="C3154" s="36"/>
      <c r="D3154" s="36"/>
      <c r="E3154" s="37"/>
      <c r="F3154" s="31" t="s">
        <v>560</v>
      </c>
      <c r="G3154" s="34" t="str">
        <f t="shared" si="54"/>
        <v/>
      </c>
      <c r="H3154" s="35"/>
      <c r="I3154" s="31"/>
      <c r="J3154" s="155">
        <v>0</v>
      </c>
    </row>
    <row r="3155" spans="1:10" ht="15" thickBot="1" x14ac:dyDescent="0.35">
      <c r="A3155" s="226" t="s">
        <v>980</v>
      </c>
      <c r="B3155" s="223" t="str">
        <f>INDEX(Orçamentária!A:B,MATCH(Composições!A3155,Orçamentária!A:A,0),2)</f>
        <v>Escavação manual de valas</v>
      </c>
      <c r="C3155" s="41"/>
      <c r="D3155" s="26" t="str">
        <f>TRIM(INDEX(Orçamentária!C:C,MATCH(Composições!A3155,Orçamentária!A:A,0),1))</f>
        <v>m3</v>
      </c>
      <c r="E3155" s="27"/>
      <c r="F3155" s="42" t="s">
        <v>560</v>
      </c>
      <c r="G3155" s="28" t="str">
        <f t="shared" si="54"/>
        <v/>
      </c>
      <c r="H3155" s="29"/>
      <c r="I3155" s="30"/>
      <c r="J3155" s="155">
        <v>118.93</v>
      </c>
    </row>
    <row r="3156" spans="1:10" x14ac:dyDescent="0.3">
      <c r="A3156" s="229"/>
      <c r="B3156" s="224"/>
      <c r="C3156" s="32"/>
      <c r="D3156" s="32"/>
      <c r="E3156" s="33"/>
      <c r="F3156" s="43" t="s">
        <v>560</v>
      </c>
      <c r="G3156" s="34" t="str">
        <f t="shared" si="54"/>
        <v/>
      </c>
      <c r="H3156" s="35"/>
      <c r="I3156" s="31"/>
      <c r="J3156" s="155">
        <v>118.93</v>
      </c>
    </row>
    <row r="3157" spans="1:10" x14ac:dyDescent="0.3">
      <c r="A3157" s="229"/>
      <c r="B3157" s="224"/>
      <c r="C3157" s="36" t="s">
        <v>23</v>
      </c>
      <c r="D3157" s="47" t="s">
        <v>12</v>
      </c>
      <c r="E3157" s="37">
        <v>3.956</v>
      </c>
      <c r="F3157" s="31">
        <v>14.968499999999999</v>
      </c>
      <c r="G3157" s="34">
        <f t="shared" si="54"/>
        <v>59.215385999999995</v>
      </c>
      <c r="H3157" s="39">
        <f>SUM(G3157:G3157)</f>
        <v>59.215385999999995</v>
      </c>
      <c r="I3157" s="40"/>
      <c r="J3157" s="155">
        <v>118.93</v>
      </c>
    </row>
    <row r="3158" spans="1:10" ht="15" thickBot="1" x14ac:dyDescent="0.35">
      <c r="A3158" s="230"/>
      <c r="B3158" s="225"/>
      <c r="C3158" s="36"/>
      <c r="D3158" s="36"/>
      <c r="E3158" s="37"/>
      <c r="F3158" s="31" t="s">
        <v>560</v>
      </c>
      <c r="G3158" s="34" t="str">
        <f t="shared" si="54"/>
        <v/>
      </c>
      <c r="H3158" s="35"/>
      <c r="I3158" s="31"/>
      <c r="J3158" s="155">
        <v>118.93</v>
      </c>
    </row>
    <row r="3159" spans="1:10" ht="15" thickBot="1" x14ac:dyDescent="0.35">
      <c r="A3159" s="226" t="s">
        <v>981</v>
      </c>
      <c r="B3159" s="223" t="str">
        <f>INDEX(Orçamentária!A:B,MATCH(Composições!A3159,Orçamentária!A:A,0),2)</f>
        <v>Reaterro de vala com compactação mecanizada</v>
      </c>
      <c r="C3159" s="41"/>
      <c r="D3159" s="26" t="str">
        <f>TRIM(INDEX(Orçamentária!C:C,MATCH(Composições!A3159,Orçamentária!A:A,0),1))</f>
        <v>m3</v>
      </c>
      <c r="E3159" s="27"/>
      <c r="F3159" s="42" t="s">
        <v>560</v>
      </c>
      <c r="G3159" s="28" t="str">
        <f t="shared" si="54"/>
        <v/>
      </c>
      <c r="H3159" s="29"/>
      <c r="I3159" s="30"/>
      <c r="J3159" s="155">
        <v>95.52</v>
      </c>
    </row>
    <row r="3160" spans="1:10" x14ac:dyDescent="0.3">
      <c r="A3160" s="229"/>
      <c r="B3160" s="224"/>
      <c r="C3160" s="32"/>
      <c r="D3160" s="32"/>
      <c r="E3160" s="33"/>
      <c r="F3160" s="43" t="s">
        <v>560</v>
      </c>
      <c r="G3160" s="34" t="str">
        <f t="shared" si="54"/>
        <v/>
      </c>
      <c r="H3160" s="35"/>
      <c r="I3160" s="31"/>
      <c r="J3160" s="155">
        <v>95.52</v>
      </c>
    </row>
    <row r="3161" spans="1:10" x14ac:dyDescent="0.3">
      <c r="A3161" s="229"/>
      <c r="B3161" s="224"/>
      <c r="C3161" s="36" t="s">
        <v>745</v>
      </c>
      <c r="D3161" s="47" t="s">
        <v>744</v>
      </c>
      <c r="E3161" s="37">
        <v>0.65</v>
      </c>
      <c r="F3161" s="31">
        <v>14.968499999999999</v>
      </c>
      <c r="G3161" s="34">
        <f t="shared" si="54"/>
        <v>9.7295249999999989</v>
      </c>
      <c r="H3161" s="39">
        <f>SUM(G3161:G3164)</f>
        <v>21.537512499999998</v>
      </c>
      <c r="I3161" s="40"/>
      <c r="J3161" s="155">
        <v>95.52</v>
      </c>
    </row>
    <row r="3162" spans="1:10" ht="26.4" x14ac:dyDescent="0.3">
      <c r="A3162" s="229"/>
      <c r="B3162" s="224"/>
      <c r="C3162" s="36" t="s">
        <v>982</v>
      </c>
      <c r="D3162" s="47" t="s">
        <v>983</v>
      </c>
      <c r="E3162" s="37">
        <v>0.27400000000000002</v>
      </c>
      <c r="F3162" s="31">
        <v>22.728999999999999</v>
      </c>
      <c r="G3162" s="34">
        <f t="shared" si="54"/>
        <v>6.2277460000000007</v>
      </c>
      <c r="H3162" s="35"/>
      <c r="I3162" s="31"/>
      <c r="J3162" s="155">
        <v>95.52</v>
      </c>
    </row>
    <row r="3163" spans="1:10" ht="26.4" x14ac:dyDescent="0.3">
      <c r="A3163" s="229"/>
      <c r="B3163" s="224"/>
      <c r="C3163" s="36" t="s">
        <v>984</v>
      </c>
      <c r="D3163" s="47" t="s">
        <v>985</v>
      </c>
      <c r="E3163" s="37">
        <v>0.254</v>
      </c>
      <c r="F3163" s="31">
        <v>16.4985</v>
      </c>
      <c r="G3163" s="34">
        <f t="shared" si="54"/>
        <v>4.1906189999999999</v>
      </c>
      <c r="H3163" s="35"/>
      <c r="I3163" s="31"/>
      <c r="J3163" s="155">
        <v>95.52</v>
      </c>
    </row>
    <row r="3164" spans="1:10" ht="26.4" x14ac:dyDescent="0.3">
      <c r="A3164" s="229"/>
      <c r="B3164" s="224"/>
      <c r="C3164" s="36" t="s">
        <v>986</v>
      </c>
      <c r="D3164" s="36" t="s">
        <v>122</v>
      </c>
      <c r="E3164" s="37">
        <v>1</v>
      </c>
      <c r="F3164" s="31">
        <v>1.3896225</v>
      </c>
      <c r="G3164" s="34">
        <f t="shared" si="54"/>
        <v>1.3896225</v>
      </c>
      <c r="H3164" s="35"/>
      <c r="I3164" s="31"/>
      <c r="J3164" s="155">
        <v>95.52</v>
      </c>
    </row>
    <row r="3165" spans="1:10" ht="15" thickBot="1" x14ac:dyDescent="0.35">
      <c r="A3165" s="230"/>
      <c r="B3165" s="225"/>
      <c r="C3165" s="36"/>
      <c r="D3165" s="36"/>
      <c r="E3165" s="37"/>
      <c r="F3165" s="31" t="s">
        <v>560</v>
      </c>
      <c r="G3165" s="34" t="str">
        <f t="shared" si="54"/>
        <v/>
      </c>
      <c r="H3165" s="35"/>
      <c r="I3165" s="31"/>
      <c r="J3165" s="155">
        <v>95.52</v>
      </c>
    </row>
    <row r="3166" spans="1:10" ht="15" thickBot="1" x14ac:dyDescent="0.35">
      <c r="A3166" s="226" t="s">
        <v>987</v>
      </c>
      <c r="B3166" s="223" t="str">
        <f>INDEX(Orçamentária!A:B,MATCH(Composições!A3166,Orçamentária!A:A,0),2)</f>
        <v>Aterro de vala com compactação mecanizada</v>
      </c>
      <c r="C3166" s="41"/>
      <c r="D3166" s="26" t="str">
        <f>TRIM(INDEX(Orçamentária!C:C,MATCH(Composições!A3166,Orçamentária!A:A,0),1))</f>
        <v>m3</v>
      </c>
      <c r="E3166" s="27"/>
      <c r="F3166" s="42" t="s">
        <v>560</v>
      </c>
      <c r="G3166" s="28" t="str">
        <f t="shared" si="54"/>
        <v/>
      </c>
      <c r="H3166" s="29"/>
      <c r="I3166" s="30"/>
      <c r="J3166" s="155">
        <v>724.12</v>
      </c>
    </row>
    <row r="3167" spans="1:10" x14ac:dyDescent="0.3">
      <c r="A3167" s="229"/>
      <c r="B3167" s="224"/>
      <c r="C3167" s="32"/>
      <c r="D3167" s="32"/>
      <c r="E3167" s="33"/>
      <c r="F3167" s="43" t="s">
        <v>560</v>
      </c>
      <c r="G3167" s="34" t="str">
        <f t="shared" si="54"/>
        <v/>
      </c>
      <c r="H3167" s="35"/>
      <c r="I3167" s="31"/>
      <c r="J3167" s="155">
        <v>724.12</v>
      </c>
    </row>
    <row r="3168" spans="1:10" ht="52.8" x14ac:dyDescent="0.3">
      <c r="A3168" s="229"/>
      <c r="B3168" s="224"/>
      <c r="C3168" s="36" t="s">
        <v>988</v>
      </c>
      <c r="D3168" s="47" t="s">
        <v>983</v>
      </c>
      <c r="E3168" s="37">
        <v>6.0000000000000001E-3</v>
      </c>
      <c r="F3168" s="31">
        <v>191.51349999999999</v>
      </c>
      <c r="G3168" s="34">
        <f t="shared" si="54"/>
        <v>1.149081</v>
      </c>
      <c r="H3168" s="39">
        <f>SUM(G3168:G3175)</f>
        <v>83.207768625</v>
      </c>
      <c r="I3168" s="40"/>
      <c r="J3168" s="155">
        <v>724.12</v>
      </c>
    </row>
    <row r="3169" spans="1:10" ht="52.8" x14ac:dyDescent="0.3">
      <c r="A3169" s="229"/>
      <c r="B3169" s="224"/>
      <c r="C3169" s="36" t="s">
        <v>989</v>
      </c>
      <c r="D3169" s="47" t="s">
        <v>985</v>
      </c>
      <c r="E3169" s="37">
        <v>3.0000000000000001E-3</v>
      </c>
      <c r="F3169" s="31">
        <v>35.274999999999999</v>
      </c>
      <c r="G3169" s="34">
        <f t="shared" si="54"/>
        <v>0.105825</v>
      </c>
      <c r="H3169" s="35"/>
      <c r="I3169" s="31"/>
      <c r="J3169" s="155">
        <v>724.12</v>
      </c>
    </row>
    <row r="3170" spans="1:10" ht="26.4" x14ac:dyDescent="0.3">
      <c r="A3170" s="229"/>
      <c r="B3170" s="224"/>
      <c r="C3170" s="36" t="s">
        <v>990</v>
      </c>
      <c r="D3170" s="47" t="s">
        <v>122</v>
      </c>
      <c r="E3170" s="37">
        <v>1.25</v>
      </c>
      <c r="F3170" s="31">
        <v>8.1430000000000007</v>
      </c>
      <c r="G3170" s="34">
        <f t="shared" si="54"/>
        <v>10.178750000000001</v>
      </c>
      <c r="H3170" s="35"/>
      <c r="I3170" s="31"/>
      <c r="J3170" s="155">
        <v>724.12</v>
      </c>
    </row>
    <row r="3171" spans="1:10" x14ac:dyDescent="0.3">
      <c r="A3171" s="229"/>
      <c r="B3171" s="224"/>
      <c r="C3171" s="36" t="s">
        <v>745</v>
      </c>
      <c r="D3171" s="36" t="s">
        <v>744</v>
      </c>
      <c r="E3171" s="37">
        <v>0.65900000000000003</v>
      </c>
      <c r="F3171" s="31">
        <v>14.968499999999999</v>
      </c>
      <c r="G3171" s="34">
        <f t="shared" si="54"/>
        <v>9.8642415000000003</v>
      </c>
      <c r="H3171" s="35"/>
      <c r="I3171" s="31"/>
      <c r="J3171" s="155">
        <v>724.12</v>
      </c>
    </row>
    <row r="3172" spans="1:10" ht="26.4" x14ac:dyDescent="0.3">
      <c r="A3172" s="229"/>
      <c r="B3172" s="224"/>
      <c r="C3172" s="36" t="s">
        <v>982</v>
      </c>
      <c r="D3172" s="36" t="s">
        <v>983</v>
      </c>
      <c r="E3172" s="37">
        <v>0.27400000000000002</v>
      </c>
      <c r="F3172" s="31">
        <v>22.728999999999999</v>
      </c>
      <c r="G3172" s="34">
        <f t="shared" si="54"/>
        <v>6.2277460000000007</v>
      </c>
      <c r="H3172" s="35"/>
      <c r="I3172" s="31"/>
      <c r="J3172" s="155">
        <v>724.12</v>
      </c>
    </row>
    <row r="3173" spans="1:10" ht="26.4" x14ac:dyDescent="0.3">
      <c r="A3173" s="229"/>
      <c r="B3173" s="224"/>
      <c r="C3173" s="36" t="s">
        <v>984</v>
      </c>
      <c r="D3173" s="36" t="s">
        <v>985</v>
      </c>
      <c r="E3173" s="37">
        <v>0.254</v>
      </c>
      <c r="F3173" s="31">
        <v>16.4985</v>
      </c>
      <c r="G3173" s="34">
        <f t="shared" si="54"/>
        <v>4.1906189999999999</v>
      </c>
      <c r="H3173" s="35"/>
      <c r="I3173" s="31"/>
      <c r="J3173" s="155">
        <v>724.12</v>
      </c>
    </row>
    <row r="3174" spans="1:10" ht="52.8" x14ac:dyDescent="0.3">
      <c r="A3174" s="229"/>
      <c r="B3174" s="224"/>
      <c r="C3174" s="36" t="s">
        <v>1931</v>
      </c>
      <c r="D3174" s="36" t="s">
        <v>110</v>
      </c>
      <c r="E3174" s="37">
        <f>E3170*1</f>
        <v>1.25</v>
      </c>
      <c r="F3174" s="34">
        <v>5.4059098999999993</v>
      </c>
      <c r="G3174" s="34">
        <f t="shared" si="54"/>
        <v>6.7573873749999986</v>
      </c>
      <c r="H3174" s="35"/>
      <c r="I3174" s="31"/>
      <c r="J3174" s="155">
        <v>724.12</v>
      </c>
    </row>
    <row r="3175" spans="1:10" ht="26.4" x14ac:dyDescent="0.3">
      <c r="A3175" s="229"/>
      <c r="B3175" s="224"/>
      <c r="C3175" s="36" t="s">
        <v>123</v>
      </c>
      <c r="D3175" s="47" t="s">
        <v>124</v>
      </c>
      <c r="E3175" s="37">
        <f>E3170*20</f>
        <v>25</v>
      </c>
      <c r="F3175" s="34">
        <v>1.7893647499999998</v>
      </c>
      <c r="G3175" s="34">
        <f t="shared" si="54"/>
        <v>44.734118749999993</v>
      </c>
      <c r="H3175" s="35"/>
      <c r="I3175" s="31"/>
      <c r="J3175" s="155">
        <v>724.12</v>
      </c>
    </row>
    <row r="3176" spans="1:10" x14ac:dyDescent="0.3">
      <c r="A3176" s="229"/>
      <c r="B3176" s="224"/>
      <c r="C3176" s="51"/>
      <c r="D3176" s="47"/>
      <c r="E3176" s="37"/>
      <c r="F3176" s="34" t="s">
        <v>560</v>
      </c>
      <c r="G3176" s="34" t="str">
        <f t="shared" si="54"/>
        <v/>
      </c>
      <c r="H3176" s="35"/>
      <c r="I3176" s="31"/>
      <c r="J3176" s="155">
        <v>724.12</v>
      </c>
    </row>
    <row r="3177" spans="1:10" x14ac:dyDescent="0.3">
      <c r="A3177" s="229"/>
      <c r="B3177" s="224"/>
      <c r="C3177" s="48" t="s">
        <v>991</v>
      </c>
      <c r="D3177" s="47"/>
      <c r="E3177" s="37"/>
      <c r="F3177" s="34" t="s">
        <v>560</v>
      </c>
      <c r="G3177" s="34" t="str">
        <f t="shared" si="54"/>
        <v/>
      </c>
      <c r="H3177" s="35"/>
      <c r="I3177" s="31"/>
      <c r="J3177" s="155">
        <v>724.12</v>
      </c>
    </row>
    <row r="3178" spans="1:10" ht="15" thickBot="1" x14ac:dyDescent="0.35">
      <c r="A3178" s="230"/>
      <c r="B3178" s="225"/>
      <c r="C3178" s="36"/>
      <c r="D3178" s="36"/>
      <c r="E3178" s="37"/>
      <c r="F3178" s="31" t="s">
        <v>560</v>
      </c>
      <c r="G3178" s="31" t="str">
        <f t="shared" si="54"/>
        <v/>
      </c>
      <c r="H3178" s="35"/>
      <c r="I3178" s="31"/>
      <c r="J3178" s="155">
        <v>724.12</v>
      </c>
    </row>
    <row r="3179" spans="1:10" ht="15" hidden="1" thickBot="1" x14ac:dyDescent="0.35">
      <c r="A3179" s="226" t="s">
        <v>992</v>
      </c>
      <c r="B3179" s="223" t="e">
        <f>INDEX(#REF!,MATCH(Composições!A3179,#REF!,0),2)</f>
        <v>#REF!</v>
      </c>
      <c r="C3179" s="41"/>
      <c r="D3179" s="26" t="e">
        <f>TRIM(INDEX(#REF!,MATCH(Composições!A3179,#REF!,0),1))</f>
        <v>#REF!</v>
      </c>
      <c r="E3179" s="27"/>
      <c r="F3179" s="42" t="s">
        <v>560</v>
      </c>
      <c r="G3179" s="28" t="str">
        <f t="shared" si="54"/>
        <v/>
      </c>
      <c r="H3179" s="29"/>
      <c r="I3179" s="30"/>
      <c r="J3179" s="155">
        <v>0</v>
      </c>
    </row>
    <row r="3180" spans="1:10" ht="15" hidden="1" thickBot="1" x14ac:dyDescent="0.35">
      <c r="A3180" s="229"/>
      <c r="B3180" s="224"/>
      <c r="C3180" s="32"/>
      <c r="D3180" s="32"/>
      <c r="E3180" s="33"/>
      <c r="F3180" s="43" t="s">
        <v>560</v>
      </c>
      <c r="G3180" s="34" t="str">
        <f t="shared" si="54"/>
        <v/>
      </c>
      <c r="H3180" s="35"/>
      <c r="I3180" s="31"/>
      <c r="J3180" s="155">
        <v>0</v>
      </c>
    </row>
    <row r="3181" spans="1:10" ht="27" hidden="1" thickBot="1" x14ac:dyDescent="0.35">
      <c r="A3181" s="229"/>
      <c r="B3181" s="224"/>
      <c r="C3181" s="36" t="s">
        <v>993</v>
      </c>
      <c r="D3181" s="36" t="s">
        <v>515</v>
      </c>
      <c r="E3181" s="37">
        <v>1.0210999999999999</v>
      </c>
      <c r="F3181" s="31">
        <v>46.732999999999997</v>
      </c>
      <c r="G3181" s="34">
        <f t="shared" si="54"/>
        <v>47.719066299999994</v>
      </c>
      <c r="H3181" s="39">
        <f>SUM(G3181:G3183)</f>
        <v>52.815802299999994</v>
      </c>
      <c r="I3181" s="40"/>
      <c r="J3181" s="155">
        <v>0</v>
      </c>
    </row>
    <row r="3182" spans="1:10" ht="27" hidden="1" thickBot="1" x14ac:dyDescent="0.35">
      <c r="A3182" s="229"/>
      <c r="B3182" s="224"/>
      <c r="C3182" s="36" t="s">
        <v>994</v>
      </c>
      <c r="D3182" s="47" t="s">
        <v>744</v>
      </c>
      <c r="E3182" s="37">
        <v>0.14399999999999999</v>
      </c>
      <c r="F3182" s="31">
        <v>15.4955</v>
      </c>
      <c r="G3182" s="34">
        <f t="shared" si="54"/>
        <v>2.2313519999999998</v>
      </c>
      <c r="H3182" s="35"/>
      <c r="I3182" s="31"/>
      <c r="J3182" s="155">
        <v>0</v>
      </c>
    </row>
    <row r="3183" spans="1:10" ht="27" hidden="1" thickBot="1" x14ac:dyDescent="0.35">
      <c r="A3183" s="229"/>
      <c r="B3183" s="224"/>
      <c r="C3183" s="36" t="s">
        <v>995</v>
      </c>
      <c r="D3183" s="47" t="s">
        <v>744</v>
      </c>
      <c r="E3183" s="37">
        <v>0.14399999999999999</v>
      </c>
      <c r="F3183" s="31">
        <v>19.898499999999999</v>
      </c>
      <c r="G3183" s="34">
        <f t="shared" si="54"/>
        <v>2.8653839999999997</v>
      </c>
      <c r="H3183" s="35"/>
      <c r="I3183" s="31"/>
      <c r="J3183" s="155">
        <v>0</v>
      </c>
    </row>
    <row r="3184" spans="1:10" ht="15" hidden="1" thickBot="1" x14ac:dyDescent="0.35">
      <c r="A3184" s="230"/>
      <c r="B3184" s="225"/>
      <c r="C3184" s="36"/>
      <c r="D3184" s="36"/>
      <c r="E3184" s="37"/>
      <c r="F3184" s="31" t="s">
        <v>560</v>
      </c>
      <c r="G3184" s="34" t="str">
        <f t="shared" si="54"/>
        <v/>
      </c>
      <c r="H3184" s="35"/>
      <c r="I3184" s="31"/>
      <c r="J3184" s="155">
        <v>0</v>
      </c>
    </row>
    <row r="3185" spans="1:10" ht="15" hidden="1" thickBot="1" x14ac:dyDescent="0.35">
      <c r="A3185" s="226" t="s">
        <v>996</v>
      </c>
      <c r="B3185" s="223" t="e">
        <f>INDEX(#REF!,MATCH(Composições!A3185,#REF!,0),2)</f>
        <v>#REF!</v>
      </c>
      <c r="C3185" s="41"/>
      <c r="D3185" s="26" t="e">
        <f>TRIM(INDEX(#REF!,MATCH(Composições!A3185,#REF!,0),1))</f>
        <v>#REF!</v>
      </c>
      <c r="E3185" s="27"/>
      <c r="F3185" s="42" t="s">
        <v>560</v>
      </c>
      <c r="G3185" s="28" t="str">
        <f t="shared" si="54"/>
        <v/>
      </c>
      <c r="H3185" s="29"/>
      <c r="I3185" s="30"/>
      <c r="J3185" s="155">
        <v>0</v>
      </c>
    </row>
    <row r="3186" spans="1:10" ht="15" hidden="1" thickBot="1" x14ac:dyDescent="0.35">
      <c r="A3186" s="229"/>
      <c r="B3186" s="224"/>
      <c r="C3186" s="32"/>
      <c r="D3186" s="32"/>
      <c r="E3186" s="33"/>
      <c r="F3186" s="43" t="s">
        <v>560</v>
      </c>
      <c r="G3186" s="34" t="str">
        <f t="shared" si="54"/>
        <v/>
      </c>
      <c r="H3186" s="35"/>
      <c r="I3186" s="31"/>
      <c r="J3186" s="155">
        <v>0</v>
      </c>
    </row>
    <row r="3187" spans="1:10" ht="27" hidden="1" thickBot="1" x14ac:dyDescent="0.35">
      <c r="A3187" s="229"/>
      <c r="B3187" s="224"/>
      <c r="C3187" s="36" t="s">
        <v>997</v>
      </c>
      <c r="D3187" s="36" t="s">
        <v>515</v>
      </c>
      <c r="E3187" s="37">
        <v>1.0210999999999999</v>
      </c>
      <c r="F3187" s="31">
        <v>59.304499999999997</v>
      </c>
      <c r="G3187" s="34">
        <f t="shared" si="54"/>
        <v>60.555824949999995</v>
      </c>
      <c r="H3187" s="39">
        <f>SUM(G3187:G3189)</f>
        <v>66.218864949999997</v>
      </c>
      <c r="I3187" s="40"/>
      <c r="J3187" s="155">
        <v>0</v>
      </c>
    </row>
    <row r="3188" spans="1:10" ht="27" hidden="1" thickBot="1" x14ac:dyDescent="0.35">
      <c r="A3188" s="229"/>
      <c r="B3188" s="224"/>
      <c r="C3188" s="36" t="s">
        <v>994</v>
      </c>
      <c r="D3188" s="47" t="s">
        <v>744</v>
      </c>
      <c r="E3188" s="37">
        <v>0.16</v>
      </c>
      <c r="F3188" s="31">
        <v>15.4955</v>
      </c>
      <c r="G3188" s="34">
        <f t="shared" si="54"/>
        <v>2.4792800000000002</v>
      </c>
      <c r="H3188" s="35"/>
      <c r="I3188" s="31"/>
      <c r="J3188" s="155">
        <v>0</v>
      </c>
    </row>
    <row r="3189" spans="1:10" ht="27" hidden="1" thickBot="1" x14ac:dyDescent="0.35">
      <c r="A3189" s="229"/>
      <c r="B3189" s="224"/>
      <c r="C3189" s="36" t="s">
        <v>995</v>
      </c>
      <c r="D3189" s="47" t="s">
        <v>744</v>
      </c>
      <c r="E3189" s="37">
        <v>0.16</v>
      </c>
      <c r="F3189" s="31">
        <v>19.898499999999999</v>
      </c>
      <c r="G3189" s="34">
        <f t="shared" si="54"/>
        <v>3.1837599999999999</v>
      </c>
      <c r="H3189" s="35"/>
      <c r="I3189" s="31"/>
      <c r="J3189" s="155">
        <v>0</v>
      </c>
    </row>
    <row r="3190" spans="1:10" ht="15" hidden="1" thickBot="1" x14ac:dyDescent="0.35">
      <c r="A3190" s="230"/>
      <c r="B3190" s="225"/>
      <c r="C3190" s="36"/>
      <c r="D3190" s="36"/>
      <c r="E3190" s="37"/>
      <c r="F3190" s="31" t="s">
        <v>560</v>
      </c>
      <c r="G3190" s="34" t="str">
        <f t="shared" si="54"/>
        <v/>
      </c>
      <c r="H3190" s="35"/>
      <c r="I3190" s="31"/>
      <c r="J3190" s="155">
        <v>0</v>
      </c>
    </row>
    <row r="3191" spans="1:10" ht="15" hidden="1" thickBot="1" x14ac:dyDescent="0.35">
      <c r="A3191" s="226" t="s">
        <v>998</v>
      </c>
      <c r="B3191" s="223" t="e">
        <f>INDEX(#REF!,MATCH(Composições!A3191,#REF!,0),2)</f>
        <v>#REF!</v>
      </c>
      <c r="C3191" s="41"/>
      <c r="D3191" s="26" t="e">
        <f>TRIM(INDEX(#REF!,MATCH(Composições!A3191,#REF!,0),1))</f>
        <v>#REF!</v>
      </c>
      <c r="E3191" s="27"/>
      <c r="F3191" s="42" t="s">
        <v>560</v>
      </c>
      <c r="G3191" s="28" t="str">
        <f t="shared" si="54"/>
        <v/>
      </c>
      <c r="H3191" s="29"/>
      <c r="I3191" s="30"/>
      <c r="J3191" s="155">
        <v>0</v>
      </c>
    </row>
    <row r="3192" spans="1:10" ht="15" hidden="1" thickBot="1" x14ac:dyDescent="0.35">
      <c r="A3192" s="229"/>
      <c r="B3192" s="224"/>
      <c r="C3192" s="32"/>
      <c r="D3192" s="32"/>
      <c r="E3192" s="33"/>
      <c r="F3192" s="43" t="s">
        <v>560</v>
      </c>
      <c r="G3192" s="34" t="str">
        <f t="shared" si="54"/>
        <v/>
      </c>
      <c r="H3192" s="35"/>
      <c r="I3192" s="31"/>
      <c r="J3192" s="155">
        <v>0</v>
      </c>
    </row>
    <row r="3193" spans="1:10" ht="27" hidden="1" thickBot="1" x14ac:dyDescent="0.35">
      <c r="A3193" s="229"/>
      <c r="B3193" s="224"/>
      <c r="C3193" s="36" t="s">
        <v>999</v>
      </c>
      <c r="D3193" s="47" t="s">
        <v>515</v>
      </c>
      <c r="E3193" s="37">
        <v>1.0210999999999999</v>
      </c>
      <c r="F3193" s="31">
        <v>116.30550000000001</v>
      </c>
      <c r="G3193" s="34">
        <f t="shared" si="54"/>
        <v>118.75954605</v>
      </c>
      <c r="H3193" s="39">
        <f>SUM(G3193:G3195)</f>
        <v>121.44949004999999</v>
      </c>
      <c r="I3193" s="40"/>
      <c r="J3193" s="155">
        <v>0</v>
      </c>
    </row>
    <row r="3194" spans="1:10" ht="27" hidden="1" thickBot="1" x14ac:dyDescent="0.35">
      <c r="A3194" s="229"/>
      <c r="B3194" s="224"/>
      <c r="C3194" s="36" t="s">
        <v>994</v>
      </c>
      <c r="D3194" s="47" t="s">
        <v>744</v>
      </c>
      <c r="E3194" s="37">
        <v>7.5999999999999998E-2</v>
      </c>
      <c r="F3194" s="31">
        <v>15.4955</v>
      </c>
      <c r="G3194" s="34">
        <f t="shared" si="54"/>
        <v>1.1776579999999999</v>
      </c>
      <c r="H3194" s="35"/>
      <c r="I3194" s="31"/>
      <c r="J3194" s="155">
        <v>0</v>
      </c>
    </row>
    <row r="3195" spans="1:10" ht="27" hidden="1" thickBot="1" x14ac:dyDescent="0.35">
      <c r="A3195" s="229"/>
      <c r="B3195" s="224"/>
      <c r="C3195" s="36" t="s">
        <v>995</v>
      </c>
      <c r="D3195" s="47" t="s">
        <v>744</v>
      </c>
      <c r="E3195" s="37">
        <v>7.5999999999999998E-2</v>
      </c>
      <c r="F3195" s="31">
        <v>19.898499999999999</v>
      </c>
      <c r="G3195" s="34">
        <f t="shared" si="54"/>
        <v>1.5122859999999998</v>
      </c>
      <c r="H3195" s="35"/>
      <c r="I3195" s="31"/>
      <c r="J3195" s="155">
        <v>0</v>
      </c>
    </row>
    <row r="3196" spans="1:10" ht="15" hidden="1" thickBot="1" x14ac:dyDescent="0.35">
      <c r="A3196" s="230"/>
      <c r="B3196" s="225"/>
      <c r="C3196" s="36"/>
      <c r="D3196" s="36"/>
      <c r="E3196" s="37"/>
      <c r="F3196" s="31" t="s">
        <v>560</v>
      </c>
      <c r="G3196" s="34" t="str">
        <f t="shared" si="54"/>
        <v/>
      </c>
      <c r="H3196" s="35"/>
      <c r="I3196" s="31"/>
      <c r="J3196" s="155">
        <v>0</v>
      </c>
    </row>
    <row r="3197" spans="1:10" ht="15" hidden="1" thickBot="1" x14ac:dyDescent="0.35">
      <c r="A3197" s="226" t="s">
        <v>1000</v>
      </c>
      <c r="B3197" s="223" t="e">
        <f>INDEX(#REF!,MATCH(Composições!A3197,#REF!,0),2)</f>
        <v>#REF!</v>
      </c>
      <c r="C3197" s="41"/>
      <c r="D3197" s="26" t="e">
        <f>TRIM(INDEX(#REF!,MATCH(Composições!A3197,#REF!,0),1))</f>
        <v>#REF!</v>
      </c>
      <c r="E3197" s="27"/>
      <c r="F3197" s="42" t="s">
        <v>560</v>
      </c>
      <c r="G3197" s="28" t="str">
        <f t="shared" si="54"/>
        <v/>
      </c>
      <c r="H3197" s="29"/>
      <c r="I3197" s="30"/>
      <c r="J3197" s="155">
        <v>0</v>
      </c>
    </row>
    <row r="3198" spans="1:10" ht="15" hidden="1" thickBot="1" x14ac:dyDescent="0.35">
      <c r="A3198" s="229"/>
      <c r="B3198" s="224"/>
      <c r="C3198" s="32"/>
      <c r="D3198" s="32"/>
      <c r="E3198" s="33"/>
      <c r="F3198" s="43" t="s">
        <v>560</v>
      </c>
      <c r="G3198" s="34" t="str">
        <f t="shared" si="54"/>
        <v/>
      </c>
      <c r="H3198" s="35"/>
      <c r="I3198" s="31"/>
      <c r="J3198" s="155">
        <v>0</v>
      </c>
    </row>
    <row r="3199" spans="1:10" ht="40.200000000000003" hidden="1" thickBot="1" x14ac:dyDescent="0.35">
      <c r="A3199" s="229"/>
      <c r="B3199" s="224"/>
      <c r="C3199" s="36" t="s">
        <v>1001</v>
      </c>
      <c r="D3199" s="47" t="s">
        <v>292</v>
      </c>
      <c r="E3199" s="37">
        <v>2</v>
      </c>
      <c r="F3199" s="31">
        <v>12.622499999999999</v>
      </c>
      <c r="G3199" s="34">
        <f t="shared" si="54"/>
        <v>25.244999999999997</v>
      </c>
      <c r="H3199" s="39">
        <f>SUM(G3199:G3205)</f>
        <v>437.14441579999993</v>
      </c>
      <c r="I3199" s="40"/>
      <c r="J3199" s="155">
        <v>0</v>
      </c>
    </row>
    <row r="3200" spans="1:10" ht="15" hidden="1" thickBot="1" x14ac:dyDescent="0.35">
      <c r="A3200" s="229"/>
      <c r="B3200" s="224"/>
      <c r="C3200" s="36" t="s">
        <v>1002</v>
      </c>
      <c r="D3200" s="47" t="s">
        <v>292</v>
      </c>
      <c r="E3200" s="37">
        <v>1</v>
      </c>
      <c r="F3200" s="31">
        <v>2.4649999999999999</v>
      </c>
      <c r="G3200" s="34">
        <f t="shared" si="54"/>
        <v>2.4649999999999999</v>
      </c>
      <c r="H3200" s="35"/>
      <c r="I3200" s="31"/>
      <c r="J3200" s="155">
        <v>0</v>
      </c>
    </row>
    <row r="3201" spans="1:10" ht="27" hidden="1" thickBot="1" x14ac:dyDescent="0.35">
      <c r="A3201" s="229"/>
      <c r="B3201" s="224"/>
      <c r="C3201" s="36" t="s">
        <v>1003</v>
      </c>
      <c r="D3201" s="47" t="s">
        <v>292</v>
      </c>
      <c r="E3201" s="37">
        <v>1</v>
      </c>
      <c r="F3201" s="31">
        <v>390.15</v>
      </c>
      <c r="G3201" s="34">
        <f t="shared" ref="G3201:G3264" si="55">IF(ISNUMBER(F3201),E3201*F3201,"")</f>
        <v>390.15</v>
      </c>
      <c r="H3201" s="35"/>
      <c r="I3201" s="31"/>
      <c r="J3201" s="155">
        <v>0</v>
      </c>
    </row>
    <row r="3202" spans="1:10" ht="15" hidden="1" thickBot="1" x14ac:dyDescent="0.35">
      <c r="A3202" s="229"/>
      <c r="B3202" s="224"/>
      <c r="C3202" s="36" t="s">
        <v>1935</v>
      </c>
      <c r="D3202" s="47" t="s">
        <v>939</v>
      </c>
      <c r="E3202" s="37">
        <v>8.8099999999999998E-2</v>
      </c>
      <c r="F3202" s="31">
        <v>47.302499999999995</v>
      </c>
      <c r="G3202" s="34">
        <f t="shared" si="55"/>
        <v>4.1673502499999993</v>
      </c>
      <c r="H3202" s="35"/>
      <c r="I3202" s="31"/>
      <c r="J3202" s="155">
        <v>0</v>
      </c>
    </row>
    <row r="3203" spans="1:10" ht="27" hidden="1" thickBot="1" x14ac:dyDescent="0.35">
      <c r="A3203" s="229"/>
      <c r="B3203" s="224"/>
      <c r="C3203" s="36" t="s">
        <v>995</v>
      </c>
      <c r="D3203" s="47" t="s">
        <v>744</v>
      </c>
      <c r="E3203" s="37">
        <v>0.49680000000000002</v>
      </c>
      <c r="F3203" s="31">
        <v>19.898499999999999</v>
      </c>
      <c r="G3203" s="34">
        <f t="shared" si="55"/>
        <v>9.8855747999999988</v>
      </c>
      <c r="H3203" s="35"/>
      <c r="I3203" s="31"/>
      <c r="J3203" s="155">
        <v>0</v>
      </c>
    </row>
    <row r="3204" spans="1:10" ht="15" hidden="1" thickBot="1" x14ac:dyDescent="0.35">
      <c r="A3204" s="229"/>
      <c r="B3204" s="224"/>
      <c r="C3204" s="36" t="s">
        <v>745</v>
      </c>
      <c r="D3204" s="47" t="s">
        <v>744</v>
      </c>
      <c r="E3204" s="37">
        <v>0.34949999999999998</v>
      </c>
      <c r="F3204" s="31">
        <v>14.968499999999999</v>
      </c>
      <c r="G3204" s="34">
        <f t="shared" si="55"/>
        <v>5.231490749999999</v>
      </c>
      <c r="H3204" s="35"/>
      <c r="I3204" s="31"/>
      <c r="J3204" s="155">
        <v>0</v>
      </c>
    </row>
    <row r="3205" spans="1:10" ht="27" hidden="1" thickBot="1" x14ac:dyDescent="0.35">
      <c r="A3205" s="229"/>
      <c r="B3205" s="224"/>
      <c r="C3205" s="36" t="s">
        <v>320</v>
      </c>
      <c r="D3205" s="36" t="s">
        <v>20</v>
      </c>
      <c r="E3205" s="37">
        <v>1</v>
      </c>
      <c r="F3205" s="34" t="s">
        <v>560</v>
      </c>
      <c r="G3205" s="34" t="str">
        <f t="shared" si="55"/>
        <v/>
      </c>
      <c r="H3205" s="35"/>
      <c r="I3205" s="31"/>
      <c r="J3205" s="155">
        <v>0</v>
      </c>
    </row>
    <row r="3206" spans="1:10" ht="15" hidden="1" thickBot="1" x14ac:dyDescent="0.35">
      <c r="A3206" s="230"/>
      <c r="B3206" s="225"/>
      <c r="C3206" s="36"/>
      <c r="D3206" s="36"/>
      <c r="E3206" s="37"/>
      <c r="F3206" s="31" t="s">
        <v>560</v>
      </c>
      <c r="G3206" s="34" t="str">
        <f t="shared" si="55"/>
        <v/>
      </c>
      <c r="H3206" s="35"/>
      <c r="I3206" s="31"/>
      <c r="J3206" s="155">
        <v>0</v>
      </c>
    </row>
    <row r="3207" spans="1:10" ht="15" hidden="1" thickBot="1" x14ac:dyDescent="0.35">
      <c r="A3207" s="226" t="s">
        <v>1004</v>
      </c>
      <c r="B3207" s="223" t="e">
        <f>INDEX(#REF!,MATCH(Composições!A3207,#REF!,0),2)</f>
        <v>#REF!</v>
      </c>
      <c r="C3207" s="41"/>
      <c r="D3207" s="26" t="e">
        <f>TRIM(INDEX(#REF!,MATCH(Composições!A3207,#REF!,0),1))</f>
        <v>#REF!</v>
      </c>
      <c r="E3207" s="27"/>
      <c r="F3207" s="42" t="s">
        <v>560</v>
      </c>
      <c r="G3207" s="28" t="str">
        <f t="shared" si="55"/>
        <v/>
      </c>
      <c r="H3207" s="29"/>
      <c r="I3207" s="30"/>
      <c r="J3207" s="155">
        <v>0</v>
      </c>
    </row>
    <row r="3208" spans="1:10" ht="15" hidden="1" thickBot="1" x14ac:dyDescent="0.35">
      <c r="A3208" s="229"/>
      <c r="B3208" s="224"/>
      <c r="C3208" s="32"/>
      <c r="D3208" s="32"/>
      <c r="E3208" s="33"/>
      <c r="F3208" s="43" t="s">
        <v>560</v>
      </c>
      <c r="G3208" s="34" t="str">
        <f t="shared" si="55"/>
        <v/>
      </c>
      <c r="H3208" s="35"/>
      <c r="I3208" s="31"/>
      <c r="J3208" s="155">
        <v>0</v>
      </c>
    </row>
    <row r="3209" spans="1:10" ht="27" hidden="1" thickBot="1" x14ac:dyDescent="0.35">
      <c r="A3209" s="229"/>
      <c r="B3209" s="224"/>
      <c r="C3209" s="36" t="s">
        <v>1005</v>
      </c>
      <c r="D3209" s="47" t="s">
        <v>147</v>
      </c>
      <c r="E3209" s="37">
        <v>1</v>
      </c>
      <c r="F3209" s="31" t="s">
        <v>560</v>
      </c>
      <c r="G3209" s="34" t="str">
        <f t="shared" si="55"/>
        <v/>
      </c>
      <c r="H3209" s="39">
        <f>SUM(G3209:G3210)</f>
        <v>1.49685</v>
      </c>
      <c r="I3209" s="40"/>
      <c r="J3209" s="155">
        <v>0</v>
      </c>
    </row>
    <row r="3210" spans="1:10" ht="15" hidden="1" thickBot="1" x14ac:dyDescent="0.35">
      <c r="A3210" s="229"/>
      <c r="B3210" s="224"/>
      <c r="C3210" s="36" t="s">
        <v>1006</v>
      </c>
      <c r="D3210" s="47" t="s">
        <v>12</v>
      </c>
      <c r="E3210" s="37">
        <v>0.1</v>
      </c>
      <c r="F3210" s="31">
        <v>14.968499999999999</v>
      </c>
      <c r="G3210" s="34">
        <f t="shared" si="55"/>
        <v>1.49685</v>
      </c>
      <c r="H3210" s="35"/>
      <c r="I3210" s="31"/>
      <c r="J3210" s="155">
        <v>0</v>
      </c>
    </row>
    <row r="3211" spans="1:10" ht="15" hidden="1" thickBot="1" x14ac:dyDescent="0.35">
      <c r="A3211" s="230"/>
      <c r="B3211" s="225"/>
      <c r="C3211" s="36"/>
      <c r="D3211" s="36"/>
      <c r="E3211" s="37"/>
      <c r="F3211" s="31" t="s">
        <v>560</v>
      </c>
      <c r="G3211" s="34" t="str">
        <f t="shared" si="55"/>
        <v/>
      </c>
      <c r="H3211" s="35"/>
      <c r="I3211" s="31"/>
      <c r="J3211" s="155">
        <v>0</v>
      </c>
    </row>
    <row r="3212" spans="1:10" ht="15" hidden="1" thickBot="1" x14ac:dyDescent="0.35">
      <c r="A3212" s="226" t="s">
        <v>1007</v>
      </c>
      <c r="B3212" s="223" t="e">
        <f>INDEX(#REF!,MATCH(Composições!A3212,#REF!,0),2)</f>
        <v>#REF!</v>
      </c>
      <c r="C3212" s="41"/>
      <c r="D3212" s="26" t="e">
        <f>TRIM(INDEX(#REF!,MATCH(Composições!A3212,#REF!,0),1))</f>
        <v>#REF!</v>
      </c>
      <c r="E3212" s="27"/>
      <c r="F3212" s="42" t="s">
        <v>560</v>
      </c>
      <c r="G3212" s="28" t="str">
        <f t="shared" si="55"/>
        <v/>
      </c>
      <c r="H3212" s="29"/>
      <c r="I3212" s="30"/>
      <c r="J3212" s="155">
        <v>0</v>
      </c>
    </row>
    <row r="3213" spans="1:10" ht="15" hidden="1" thickBot="1" x14ac:dyDescent="0.35">
      <c r="A3213" s="229"/>
      <c r="B3213" s="224"/>
      <c r="C3213" s="32"/>
      <c r="D3213" s="32"/>
      <c r="E3213" s="33"/>
      <c r="F3213" s="43" t="s">
        <v>560</v>
      </c>
      <c r="G3213" s="34" t="str">
        <f t="shared" si="55"/>
        <v/>
      </c>
      <c r="H3213" s="35"/>
      <c r="I3213" s="31"/>
      <c r="J3213" s="155">
        <v>0</v>
      </c>
    </row>
    <row r="3214" spans="1:10" ht="27" hidden="1" thickBot="1" x14ac:dyDescent="0.35">
      <c r="A3214" s="229"/>
      <c r="B3214" s="224"/>
      <c r="C3214" s="36" t="s">
        <v>1008</v>
      </c>
      <c r="D3214" s="47" t="s">
        <v>147</v>
      </c>
      <c r="E3214" s="37">
        <v>1</v>
      </c>
      <c r="F3214" s="31" t="s">
        <v>560</v>
      </c>
      <c r="G3214" s="34" t="str">
        <f t="shared" si="55"/>
        <v/>
      </c>
      <c r="H3214" s="39">
        <f>SUM(G3214:G3217)</f>
        <v>28.143729499999999</v>
      </c>
      <c r="I3214" s="40"/>
      <c r="J3214" s="155">
        <v>0</v>
      </c>
    </row>
    <row r="3215" spans="1:10" ht="15" hidden="1" thickBot="1" x14ac:dyDescent="0.35">
      <c r="A3215" s="229"/>
      <c r="B3215" s="224"/>
      <c r="C3215" s="36" t="s">
        <v>338</v>
      </c>
      <c r="D3215" s="47" t="s">
        <v>292</v>
      </c>
      <c r="E3215" s="37">
        <v>1.9E-2</v>
      </c>
      <c r="F3215" s="31">
        <v>11.4665</v>
      </c>
      <c r="G3215" s="34">
        <f t="shared" si="55"/>
        <v>0.21786349999999999</v>
      </c>
      <c r="H3215" s="35"/>
      <c r="I3215" s="31"/>
      <c r="J3215" s="155">
        <v>0</v>
      </c>
    </row>
    <row r="3216" spans="1:10" ht="15" hidden="1" thickBot="1" x14ac:dyDescent="0.35">
      <c r="A3216" s="229"/>
      <c r="B3216" s="224"/>
      <c r="C3216" s="36" t="s">
        <v>39</v>
      </c>
      <c r="D3216" s="47" t="s">
        <v>12</v>
      </c>
      <c r="E3216" s="37">
        <v>0.78900000000000003</v>
      </c>
      <c r="F3216" s="31">
        <v>19.898499999999999</v>
      </c>
      <c r="G3216" s="34">
        <f t="shared" si="55"/>
        <v>15.699916499999999</v>
      </c>
      <c r="H3216" s="35"/>
      <c r="I3216" s="31"/>
      <c r="J3216" s="155">
        <v>0</v>
      </c>
    </row>
    <row r="3217" spans="1:10" ht="27" hidden="1" thickBot="1" x14ac:dyDescent="0.35">
      <c r="A3217" s="229"/>
      <c r="B3217" s="224"/>
      <c r="C3217" s="36" t="s">
        <v>994</v>
      </c>
      <c r="D3217" s="36" t="s">
        <v>12</v>
      </c>
      <c r="E3217" s="37">
        <v>0.78900000000000003</v>
      </c>
      <c r="F3217" s="31">
        <v>15.4955</v>
      </c>
      <c r="G3217" s="34">
        <f t="shared" si="55"/>
        <v>12.2259495</v>
      </c>
      <c r="H3217" s="35"/>
      <c r="I3217" s="31"/>
      <c r="J3217" s="155">
        <v>0</v>
      </c>
    </row>
    <row r="3218" spans="1:10" ht="15" hidden="1" thickBot="1" x14ac:dyDescent="0.35">
      <c r="A3218" s="230"/>
      <c r="B3218" s="225"/>
      <c r="C3218" s="36"/>
      <c r="D3218" s="36"/>
      <c r="E3218" s="37"/>
      <c r="F3218" s="31" t="s">
        <v>560</v>
      </c>
      <c r="G3218" s="34" t="str">
        <f t="shared" si="55"/>
        <v/>
      </c>
      <c r="H3218" s="35"/>
      <c r="I3218" s="31"/>
      <c r="J3218" s="155">
        <v>0</v>
      </c>
    </row>
    <row r="3219" spans="1:10" ht="15" hidden="1" thickBot="1" x14ac:dyDescent="0.35">
      <c r="A3219" s="226" t="s">
        <v>1009</v>
      </c>
      <c r="B3219" s="223" t="e">
        <f>INDEX(#REF!,MATCH(Composições!A3219,#REF!,0),2)</f>
        <v>#REF!</v>
      </c>
      <c r="C3219" s="41"/>
      <c r="D3219" s="26" t="e">
        <f>TRIM(INDEX(#REF!,MATCH(Composições!A3219,#REF!,0),1))</f>
        <v>#REF!</v>
      </c>
      <c r="E3219" s="27"/>
      <c r="F3219" s="42" t="s">
        <v>560</v>
      </c>
      <c r="G3219" s="28" t="str">
        <f t="shared" si="55"/>
        <v/>
      </c>
      <c r="H3219" s="29"/>
      <c r="I3219" s="30"/>
      <c r="J3219" s="155">
        <v>0</v>
      </c>
    </row>
    <row r="3220" spans="1:10" ht="15" hidden="1" thickBot="1" x14ac:dyDescent="0.35">
      <c r="A3220" s="229"/>
      <c r="B3220" s="224"/>
      <c r="C3220" s="32"/>
      <c r="D3220" s="32"/>
      <c r="E3220" s="33"/>
      <c r="F3220" s="43" t="s">
        <v>560</v>
      </c>
      <c r="G3220" s="34" t="str">
        <f t="shared" si="55"/>
        <v/>
      </c>
      <c r="H3220" s="35"/>
      <c r="I3220" s="31"/>
      <c r="J3220" s="155">
        <v>0</v>
      </c>
    </row>
    <row r="3221" spans="1:10" ht="15" hidden="1" thickBot="1" x14ac:dyDescent="0.35">
      <c r="A3221" s="229"/>
      <c r="B3221" s="224"/>
      <c r="C3221" s="36" t="s">
        <v>1010</v>
      </c>
      <c r="D3221" s="36" t="s">
        <v>93</v>
      </c>
      <c r="E3221" s="37">
        <v>1.0149999999999999</v>
      </c>
      <c r="F3221" s="31">
        <v>0</v>
      </c>
      <c r="G3221" s="34">
        <f t="shared" si="55"/>
        <v>0</v>
      </c>
      <c r="H3221" s="39">
        <f>SUM(G3221:G3224)</f>
        <v>2.3592599999999999</v>
      </c>
      <c r="I3221" s="40"/>
      <c r="J3221" s="155">
        <v>0</v>
      </c>
    </row>
    <row r="3222" spans="1:10" ht="15" hidden="1" thickBot="1" x14ac:dyDescent="0.35">
      <c r="A3222" s="229"/>
      <c r="B3222" s="224"/>
      <c r="C3222" s="36" t="s">
        <v>592</v>
      </c>
      <c r="D3222" s="47" t="s">
        <v>292</v>
      </c>
      <c r="E3222" s="37">
        <v>8.9999999999999993E-3</v>
      </c>
      <c r="F3222" s="31">
        <v>3.1959999999999997</v>
      </c>
      <c r="G3222" s="34">
        <f t="shared" si="55"/>
        <v>2.8763999999999994E-2</v>
      </c>
      <c r="H3222" s="35"/>
      <c r="I3222" s="31"/>
      <c r="J3222" s="155">
        <v>0</v>
      </c>
    </row>
    <row r="3223" spans="1:10" ht="15" hidden="1" thickBot="1" x14ac:dyDescent="0.35">
      <c r="A3223" s="229"/>
      <c r="B3223" s="224"/>
      <c r="C3223" s="36" t="s">
        <v>74</v>
      </c>
      <c r="D3223" s="36" t="s">
        <v>12</v>
      </c>
      <c r="E3223" s="37">
        <v>6.4000000000000001E-2</v>
      </c>
      <c r="F3223" s="31">
        <v>15.928999999999998</v>
      </c>
      <c r="G3223" s="34">
        <f t="shared" si="55"/>
        <v>1.0194559999999999</v>
      </c>
      <c r="H3223" s="35"/>
      <c r="I3223" s="31"/>
      <c r="J3223" s="155">
        <v>0</v>
      </c>
    </row>
    <row r="3224" spans="1:10" ht="15" hidden="1" thickBot="1" x14ac:dyDescent="0.35">
      <c r="A3224" s="229"/>
      <c r="B3224" s="224"/>
      <c r="C3224" s="36" t="s">
        <v>30</v>
      </c>
      <c r="D3224" s="36" t="s">
        <v>12</v>
      </c>
      <c r="E3224" s="37">
        <v>6.4000000000000001E-2</v>
      </c>
      <c r="F3224" s="31">
        <v>20.484999999999999</v>
      </c>
      <c r="G3224" s="34">
        <f t="shared" si="55"/>
        <v>1.31104</v>
      </c>
      <c r="H3224" s="35"/>
      <c r="I3224" s="31"/>
      <c r="J3224" s="155">
        <v>0</v>
      </c>
    </row>
    <row r="3225" spans="1:10" ht="15" hidden="1" thickBot="1" x14ac:dyDescent="0.35">
      <c r="A3225" s="230"/>
      <c r="B3225" s="225"/>
      <c r="C3225" s="36"/>
      <c r="D3225" s="36"/>
      <c r="E3225" s="37"/>
      <c r="F3225" s="31" t="s">
        <v>560</v>
      </c>
      <c r="G3225" s="34" t="str">
        <f t="shared" si="55"/>
        <v/>
      </c>
      <c r="H3225" s="35"/>
      <c r="I3225" s="31"/>
      <c r="J3225" s="155">
        <v>0</v>
      </c>
    </row>
    <row r="3226" spans="1:10" ht="15" hidden="1" thickBot="1" x14ac:dyDescent="0.35">
      <c r="A3226" s="226" t="s">
        <v>1011</v>
      </c>
      <c r="B3226" s="223" t="e">
        <f>INDEX(#REF!,MATCH(Composições!A3226,#REF!,0),2)</f>
        <v>#REF!</v>
      </c>
      <c r="C3226" s="41"/>
      <c r="D3226" s="26" t="e">
        <f>TRIM(INDEX(#REF!,MATCH(Composições!A3226,#REF!,0),1))</f>
        <v>#REF!</v>
      </c>
      <c r="E3226" s="27"/>
      <c r="F3226" s="42" t="s">
        <v>560</v>
      </c>
      <c r="G3226" s="28" t="str">
        <f t="shared" si="55"/>
        <v/>
      </c>
      <c r="H3226" s="29"/>
      <c r="I3226" s="30"/>
      <c r="J3226" s="155">
        <v>0</v>
      </c>
    </row>
    <row r="3227" spans="1:10" ht="15" hidden="1" thickBot="1" x14ac:dyDescent="0.35">
      <c r="A3227" s="229"/>
      <c r="B3227" s="224"/>
      <c r="C3227" s="32"/>
      <c r="D3227" s="32"/>
      <c r="E3227" s="33"/>
      <c r="F3227" s="43" t="s">
        <v>560</v>
      </c>
      <c r="G3227" s="34" t="str">
        <f t="shared" si="55"/>
        <v/>
      </c>
      <c r="H3227" s="35"/>
      <c r="I3227" s="31"/>
      <c r="J3227" s="155">
        <v>0</v>
      </c>
    </row>
    <row r="3228" spans="1:10" ht="15" hidden="1" thickBot="1" x14ac:dyDescent="0.35">
      <c r="A3228" s="229"/>
      <c r="B3228" s="224"/>
      <c r="C3228" s="36" t="s">
        <v>1012</v>
      </c>
      <c r="D3228" s="36" t="s">
        <v>93</v>
      </c>
      <c r="E3228" s="37">
        <v>1.0149999999999999</v>
      </c>
      <c r="F3228" s="31">
        <v>0</v>
      </c>
      <c r="G3228" s="34">
        <f t="shared" si="55"/>
        <v>0</v>
      </c>
      <c r="H3228" s="39">
        <f>SUM(G3228:G3231)</f>
        <v>2.6869859999999997</v>
      </c>
      <c r="I3228" s="40"/>
      <c r="J3228" s="155">
        <v>0</v>
      </c>
    </row>
    <row r="3229" spans="1:10" ht="15" hidden="1" thickBot="1" x14ac:dyDescent="0.35">
      <c r="A3229" s="229"/>
      <c r="B3229" s="224"/>
      <c r="C3229" s="36" t="s">
        <v>592</v>
      </c>
      <c r="D3229" s="47" t="s">
        <v>292</v>
      </c>
      <c r="E3229" s="37">
        <v>8.9999999999999993E-3</v>
      </c>
      <c r="F3229" s="31">
        <v>3.1959999999999997</v>
      </c>
      <c r="G3229" s="34">
        <f t="shared" si="55"/>
        <v>2.8763999999999994E-2</v>
      </c>
      <c r="H3229" s="35"/>
      <c r="I3229" s="31"/>
      <c r="J3229" s="155">
        <v>0</v>
      </c>
    </row>
    <row r="3230" spans="1:10" ht="15" hidden="1" thickBot="1" x14ac:dyDescent="0.35">
      <c r="A3230" s="229"/>
      <c r="B3230" s="224"/>
      <c r="C3230" s="36" t="s">
        <v>74</v>
      </c>
      <c r="D3230" s="36" t="s">
        <v>12</v>
      </c>
      <c r="E3230" s="37">
        <v>7.2999999999999995E-2</v>
      </c>
      <c r="F3230" s="31">
        <v>15.928999999999998</v>
      </c>
      <c r="G3230" s="34">
        <f t="shared" si="55"/>
        <v>1.1628169999999998</v>
      </c>
      <c r="H3230" s="35"/>
      <c r="I3230" s="31"/>
      <c r="J3230" s="155">
        <v>0</v>
      </c>
    </row>
    <row r="3231" spans="1:10" ht="15" hidden="1" thickBot="1" x14ac:dyDescent="0.35">
      <c r="A3231" s="229"/>
      <c r="B3231" s="224"/>
      <c r="C3231" s="36" t="s">
        <v>30</v>
      </c>
      <c r="D3231" s="36" t="s">
        <v>12</v>
      </c>
      <c r="E3231" s="37">
        <v>7.2999999999999995E-2</v>
      </c>
      <c r="F3231" s="31">
        <v>20.484999999999999</v>
      </c>
      <c r="G3231" s="34">
        <f t="shared" si="55"/>
        <v>1.4954049999999999</v>
      </c>
      <c r="H3231" s="35"/>
      <c r="I3231" s="31"/>
      <c r="J3231" s="155">
        <v>0</v>
      </c>
    </row>
    <row r="3232" spans="1:10" ht="15" hidden="1" thickBot="1" x14ac:dyDescent="0.35">
      <c r="A3232" s="230"/>
      <c r="B3232" s="225"/>
      <c r="C3232" s="36"/>
      <c r="D3232" s="36"/>
      <c r="E3232" s="37"/>
      <c r="F3232" s="31" t="s">
        <v>560</v>
      </c>
      <c r="G3232" s="34" t="str">
        <f t="shared" si="55"/>
        <v/>
      </c>
      <c r="H3232" s="35"/>
      <c r="I3232" s="31"/>
      <c r="J3232" s="155">
        <v>0</v>
      </c>
    </row>
    <row r="3233" spans="1:10" ht="15" thickBot="1" x14ac:dyDescent="0.35">
      <c r="A3233" s="226" t="s">
        <v>1013</v>
      </c>
      <c r="B3233" s="223" t="str">
        <f>INDEX(Orçamentária!A:B,MATCH(Composições!A3233,Orçamentária!A:A,0),2)</f>
        <v>Condutor 50 mm²</v>
      </c>
      <c r="C3233" s="41"/>
      <c r="D3233" s="26" t="str">
        <f>TRIM(INDEX(Orçamentária!C:C,MATCH(Composições!A3233,Orçamentária!A:A,0),1))</f>
        <v>m</v>
      </c>
      <c r="E3233" s="27"/>
      <c r="F3233" s="42" t="s">
        <v>560</v>
      </c>
      <c r="G3233" s="28" t="str">
        <f t="shared" si="55"/>
        <v/>
      </c>
      <c r="H3233" s="29"/>
      <c r="I3233" s="30"/>
      <c r="J3233" s="155">
        <v>1470</v>
      </c>
    </row>
    <row r="3234" spans="1:10" x14ac:dyDescent="0.3">
      <c r="A3234" s="229"/>
      <c r="B3234" s="224"/>
      <c r="C3234" s="32"/>
      <c r="D3234" s="32"/>
      <c r="E3234" s="33"/>
      <c r="F3234" s="43" t="s">
        <v>560</v>
      </c>
      <c r="G3234" s="34" t="str">
        <f t="shared" si="55"/>
        <v/>
      </c>
      <c r="H3234" s="35"/>
      <c r="I3234" s="31"/>
      <c r="J3234" s="155">
        <v>1470</v>
      </c>
    </row>
    <row r="3235" spans="1:10" x14ac:dyDescent="0.3">
      <c r="A3235" s="229"/>
      <c r="B3235" s="224"/>
      <c r="C3235" s="36" t="s">
        <v>1014</v>
      </c>
      <c r="D3235" s="36" t="s">
        <v>93</v>
      </c>
      <c r="E3235" s="37">
        <v>1.0149999999999999</v>
      </c>
      <c r="F3235" s="31">
        <v>70.465000000000003</v>
      </c>
      <c r="G3235" s="34">
        <f t="shared" si="55"/>
        <v>71.521974999999998</v>
      </c>
      <c r="H3235" s="39">
        <f>SUM(G3235:G3238)</f>
        <v>74.718756999999997</v>
      </c>
      <c r="I3235" s="40"/>
      <c r="J3235" s="155">
        <v>1470</v>
      </c>
    </row>
    <row r="3236" spans="1:10" x14ac:dyDescent="0.3">
      <c r="A3236" s="229"/>
      <c r="B3236" s="224"/>
      <c r="C3236" s="36" t="s">
        <v>592</v>
      </c>
      <c r="D3236" s="47" t="s">
        <v>292</v>
      </c>
      <c r="E3236" s="37">
        <v>8.9999999999999993E-3</v>
      </c>
      <c r="F3236" s="31">
        <v>3.1959999999999997</v>
      </c>
      <c r="G3236" s="34">
        <f t="shared" si="55"/>
        <v>2.8763999999999994E-2</v>
      </c>
      <c r="H3236" s="35"/>
      <c r="I3236" s="31"/>
      <c r="J3236" s="155">
        <v>1470</v>
      </c>
    </row>
    <row r="3237" spans="1:10" x14ac:dyDescent="0.3">
      <c r="A3237" s="229"/>
      <c r="B3237" s="224"/>
      <c r="C3237" s="36" t="s">
        <v>74</v>
      </c>
      <c r="D3237" s="36" t="s">
        <v>12</v>
      </c>
      <c r="E3237" s="37">
        <v>8.6999999999999994E-2</v>
      </c>
      <c r="F3237" s="31">
        <v>15.928999999999998</v>
      </c>
      <c r="G3237" s="34">
        <f t="shared" si="55"/>
        <v>1.3858229999999998</v>
      </c>
      <c r="H3237" s="35"/>
      <c r="I3237" s="31"/>
      <c r="J3237" s="155">
        <v>1470</v>
      </c>
    </row>
    <row r="3238" spans="1:10" x14ac:dyDescent="0.3">
      <c r="A3238" s="229"/>
      <c r="B3238" s="224"/>
      <c r="C3238" s="36" t="s">
        <v>30</v>
      </c>
      <c r="D3238" s="36" t="s">
        <v>12</v>
      </c>
      <c r="E3238" s="37">
        <v>8.6999999999999994E-2</v>
      </c>
      <c r="F3238" s="31">
        <v>20.484999999999999</v>
      </c>
      <c r="G3238" s="34">
        <f t="shared" si="55"/>
        <v>1.7821949999999998</v>
      </c>
      <c r="H3238" s="35"/>
      <c r="I3238" s="31"/>
      <c r="J3238" s="155">
        <v>1470</v>
      </c>
    </row>
    <row r="3239" spans="1:10" ht="15" thickBot="1" x14ac:dyDescent="0.35">
      <c r="A3239" s="230"/>
      <c r="B3239" s="225"/>
      <c r="C3239" s="36"/>
      <c r="D3239" s="36"/>
      <c r="E3239" s="37"/>
      <c r="F3239" s="31" t="s">
        <v>560</v>
      </c>
      <c r="G3239" s="34" t="str">
        <f t="shared" si="55"/>
        <v/>
      </c>
      <c r="H3239" s="35"/>
      <c r="I3239" s="31"/>
      <c r="J3239" s="155">
        <v>1470</v>
      </c>
    </row>
    <row r="3240" spans="1:10" ht="15" thickBot="1" x14ac:dyDescent="0.35">
      <c r="A3240" s="226" t="s">
        <v>1015</v>
      </c>
      <c r="B3240" s="223" t="str">
        <f>INDEX(Orçamentária!A:B,MATCH(Composições!A3240,Orçamentária!A:A,0),2)</f>
        <v>Condutor 70 mm²</v>
      </c>
      <c r="C3240" s="41"/>
      <c r="D3240" s="26" t="str">
        <f>TRIM(INDEX(Orçamentária!C:C,MATCH(Composições!A3240,Orçamentária!A:A,0),1))</f>
        <v>m</v>
      </c>
      <c r="E3240" s="27"/>
      <c r="F3240" s="42" t="s">
        <v>560</v>
      </c>
      <c r="G3240" s="28" t="str">
        <f t="shared" si="55"/>
        <v/>
      </c>
      <c r="H3240" s="29"/>
      <c r="I3240" s="30"/>
      <c r="J3240" s="155">
        <v>110</v>
      </c>
    </row>
    <row r="3241" spans="1:10" x14ac:dyDescent="0.3">
      <c r="A3241" s="229"/>
      <c r="B3241" s="224"/>
      <c r="C3241" s="32"/>
      <c r="D3241" s="32"/>
      <c r="E3241" s="33"/>
      <c r="F3241" s="43" t="s">
        <v>560</v>
      </c>
      <c r="G3241" s="34" t="str">
        <f t="shared" si="55"/>
        <v/>
      </c>
      <c r="H3241" s="35"/>
      <c r="I3241" s="31"/>
      <c r="J3241" s="155">
        <v>110</v>
      </c>
    </row>
    <row r="3242" spans="1:10" x14ac:dyDescent="0.3">
      <c r="A3242" s="229"/>
      <c r="B3242" s="224"/>
      <c r="C3242" s="36" t="s">
        <v>1016</v>
      </c>
      <c r="D3242" s="36" t="s">
        <v>93</v>
      </c>
      <c r="E3242" s="37">
        <v>1.0149999999999999</v>
      </c>
      <c r="F3242" s="31">
        <v>96.967999999999989</v>
      </c>
      <c r="G3242" s="34">
        <f t="shared" si="55"/>
        <v>98.422519999999977</v>
      </c>
      <c r="H3242" s="39">
        <f>SUM(G3242:G3245)</f>
        <v>102.27475399999997</v>
      </c>
      <c r="I3242" s="40"/>
      <c r="J3242" s="155">
        <v>110</v>
      </c>
    </row>
    <row r="3243" spans="1:10" x14ac:dyDescent="0.3">
      <c r="A3243" s="229"/>
      <c r="B3243" s="224"/>
      <c r="C3243" s="36" t="s">
        <v>592</v>
      </c>
      <c r="D3243" s="47" t="s">
        <v>292</v>
      </c>
      <c r="E3243" s="37">
        <v>8.9999999999999993E-3</v>
      </c>
      <c r="F3243" s="31">
        <v>3.1959999999999997</v>
      </c>
      <c r="G3243" s="34">
        <f t="shared" si="55"/>
        <v>2.8763999999999994E-2</v>
      </c>
      <c r="H3243" s="35"/>
      <c r="I3243" s="31"/>
      <c r="J3243" s="155">
        <v>110</v>
      </c>
    </row>
    <row r="3244" spans="1:10" x14ac:dyDescent="0.3">
      <c r="A3244" s="229"/>
      <c r="B3244" s="224"/>
      <c r="C3244" s="36" t="s">
        <v>74</v>
      </c>
      <c r="D3244" s="36" t="s">
        <v>12</v>
      </c>
      <c r="E3244" s="37">
        <v>0.105</v>
      </c>
      <c r="F3244" s="31">
        <v>15.928999999999998</v>
      </c>
      <c r="G3244" s="34">
        <f t="shared" si="55"/>
        <v>1.6725449999999997</v>
      </c>
      <c r="H3244" s="35"/>
      <c r="I3244" s="31"/>
      <c r="J3244" s="155">
        <v>110</v>
      </c>
    </row>
    <row r="3245" spans="1:10" x14ac:dyDescent="0.3">
      <c r="A3245" s="229"/>
      <c r="B3245" s="224"/>
      <c r="C3245" s="36" t="s">
        <v>30</v>
      </c>
      <c r="D3245" s="36" t="s">
        <v>12</v>
      </c>
      <c r="E3245" s="37">
        <v>0.105</v>
      </c>
      <c r="F3245" s="31">
        <v>20.484999999999999</v>
      </c>
      <c r="G3245" s="34">
        <f t="shared" si="55"/>
        <v>2.150925</v>
      </c>
      <c r="H3245" s="35"/>
      <c r="I3245" s="31"/>
      <c r="J3245" s="155">
        <v>110</v>
      </c>
    </row>
    <row r="3246" spans="1:10" ht="15" thickBot="1" x14ac:dyDescent="0.35">
      <c r="A3246" s="230"/>
      <c r="B3246" s="225"/>
      <c r="C3246" s="36"/>
      <c r="D3246" s="36"/>
      <c r="E3246" s="37"/>
      <c r="F3246" s="31" t="s">
        <v>560</v>
      </c>
      <c r="G3246" s="34" t="str">
        <f t="shared" si="55"/>
        <v/>
      </c>
      <c r="H3246" s="35"/>
      <c r="I3246" s="31"/>
      <c r="J3246" s="155">
        <v>110</v>
      </c>
    </row>
    <row r="3247" spans="1:10" ht="15" thickBot="1" x14ac:dyDescent="0.35">
      <c r="A3247" s="226" t="s">
        <v>1017</v>
      </c>
      <c r="B3247" s="223" t="str">
        <f>INDEX(Orçamentária!A:B,MATCH(Composições!A3247,Orçamentária!A:A,0),2)</f>
        <v>Condutor 95 mm²</v>
      </c>
      <c r="C3247" s="41"/>
      <c r="D3247" s="26" t="str">
        <f>TRIM(INDEX(Orçamentária!C:C,MATCH(Composições!A3247,Orçamentária!A:A,0),1))</f>
        <v>m</v>
      </c>
      <c r="E3247" s="27"/>
      <c r="F3247" s="42" t="s">
        <v>560</v>
      </c>
      <c r="G3247" s="28" t="str">
        <f t="shared" si="55"/>
        <v/>
      </c>
      <c r="H3247" s="29"/>
      <c r="I3247" s="30"/>
      <c r="J3247" s="155">
        <v>1440</v>
      </c>
    </row>
    <row r="3248" spans="1:10" x14ac:dyDescent="0.3">
      <c r="A3248" s="229"/>
      <c r="B3248" s="224"/>
      <c r="C3248" s="32"/>
      <c r="D3248" s="32"/>
      <c r="E3248" s="33"/>
      <c r="F3248" s="43" t="s">
        <v>560</v>
      </c>
      <c r="G3248" s="34" t="str">
        <f t="shared" si="55"/>
        <v/>
      </c>
      <c r="H3248" s="35"/>
      <c r="I3248" s="31"/>
      <c r="J3248" s="155">
        <v>1440</v>
      </c>
    </row>
    <row r="3249" spans="1:10" x14ac:dyDescent="0.3">
      <c r="A3249" s="229"/>
      <c r="B3249" s="224"/>
      <c r="C3249" s="36" t="s">
        <v>1018</v>
      </c>
      <c r="D3249" s="36" t="s">
        <v>93</v>
      </c>
      <c r="E3249" s="37">
        <v>1.0149999999999999</v>
      </c>
      <c r="F3249" s="31">
        <v>129.5145</v>
      </c>
      <c r="G3249" s="34">
        <f t="shared" si="55"/>
        <v>131.45721749999998</v>
      </c>
      <c r="H3249" s="39">
        <f>SUM(G3249:G3252)</f>
        <v>136.1469735</v>
      </c>
      <c r="I3249" s="40"/>
      <c r="J3249" s="155">
        <v>1440</v>
      </c>
    </row>
    <row r="3250" spans="1:10" x14ac:dyDescent="0.3">
      <c r="A3250" s="229"/>
      <c r="B3250" s="224"/>
      <c r="C3250" s="36" t="s">
        <v>592</v>
      </c>
      <c r="D3250" s="47" t="s">
        <v>292</v>
      </c>
      <c r="E3250" s="37">
        <v>8.9999999999999993E-3</v>
      </c>
      <c r="F3250" s="31">
        <v>3.1959999999999997</v>
      </c>
      <c r="G3250" s="34">
        <f t="shared" si="55"/>
        <v>2.8763999999999994E-2</v>
      </c>
      <c r="H3250" s="35"/>
      <c r="I3250" s="31"/>
      <c r="J3250" s="155">
        <v>1440</v>
      </c>
    </row>
    <row r="3251" spans="1:10" x14ac:dyDescent="0.3">
      <c r="A3251" s="229"/>
      <c r="B3251" s="224"/>
      <c r="C3251" s="36" t="s">
        <v>74</v>
      </c>
      <c r="D3251" s="36" t="s">
        <v>12</v>
      </c>
      <c r="E3251" s="37">
        <v>0.128</v>
      </c>
      <c r="F3251" s="31">
        <v>15.928999999999998</v>
      </c>
      <c r="G3251" s="34">
        <f t="shared" si="55"/>
        <v>2.0389119999999998</v>
      </c>
      <c r="H3251" s="35"/>
      <c r="I3251" s="31"/>
      <c r="J3251" s="155">
        <v>1440</v>
      </c>
    </row>
    <row r="3252" spans="1:10" x14ac:dyDescent="0.3">
      <c r="A3252" s="229"/>
      <c r="B3252" s="224"/>
      <c r="C3252" s="36" t="s">
        <v>30</v>
      </c>
      <c r="D3252" s="36" t="s">
        <v>12</v>
      </c>
      <c r="E3252" s="37">
        <v>0.128</v>
      </c>
      <c r="F3252" s="31">
        <v>20.484999999999999</v>
      </c>
      <c r="G3252" s="34">
        <f t="shared" si="55"/>
        <v>2.62208</v>
      </c>
      <c r="H3252" s="35"/>
      <c r="I3252" s="31"/>
      <c r="J3252" s="155">
        <v>1440</v>
      </c>
    </row>
    <row r="3253" spans="1:10" ht="15" thickBot="1" x14ac:dyDescent="0.35">
      <c r="A3253" s="230"/>
      <c r="B3253" s="225"/>
      <c r="C3253" s="36"/>
      <c r="D3253" s="36"/>
      <c r="E3253" s="37"/>
      <c r="F3253" s="31" t="s">
        <v>560</v>
      </c>
      <c r="G3253" s="34" t="str">
        <f t="shared" si="55"/>
        <v/>
      </c>
      <c r="H3253" s="35"/>
      <c r="I3253" s="31"/>
      <c r="J3253" s="155">
        <v>1440</v>
      </c>
    </row>
    <row r="3254" spans="1:10" ht="15" hidden="1" thickBot="1" x14ac:dyDescent="0.35">
      <c r="A3254" s="226" t="s">
        <v>1019</v>
      </c>
      <c r="B3254" s="223" t="e">
        <f>INDEX(#REF!,MATCH(Composições!A3254,#REF!,0),2)</f>
        <v>#REF!</v>
      </c>
      <c r="C3254" s="41"/>
      <c r="D3254" s="26" t="e">
        <f>TRIM(INDEX(#REF!,MATCH(Composições!A3254,#REF!,0),1))</f>
        <v>#REF!</v>
      </c>
      <c r="E3254" s="27"/>
      <c r="F3254" s="42" t="s">
        <v>560</v>
      </c>
      <c r="G3254" s="28" t="str">
        <f t="shared" si="55"/>
        <v/>
      </c>
      <c r="H3254" s="29"/>
      <c r="I3254" s="30"/>
      <c r="J3254" s="155">
        <v>0</v>
      </c>
    </row>
    <row r="3255" spans="1:10" ht="15" hidden="1" thickBot="1" x14ac:dyDescent="0.35">
      <c r="A3255" s="229"/>
      <c r="B3255" s="224"/>
      <c r="C3255" s="32"/>
      <c r="D3255" s="32"/>
      <c r="E3255" s="33"/>
      <c r="F3255" s="43" t="s">
        <v>560</v>
      </c>
      <c r="G3255" s="34" t="str">
        <f t="shared" si="55"/>
        <v/>
      </c>
      <c r="H3255" s="35"/>
      <c r="I3255" s="31"/>
      <c r="J3255" s="155">
        <v>0</v>
      </c>
    </row>
    <row r="3256" spans="1:10" ht="15" hidden="1" thickBot="1" x14ac:dyDescent="0.35">
      <c r="A3256" s="229"/>
      <c r="B3256" s="224"/>
      <c r="C3256" s="36" t="s">
        <v>1020</v>
      </c>
      <c r="D3256" s="36" t="s">
        <v>93</v>
      </c>
      <c r="E3256" s="37">
        <v>1.0149999999999999</v>
      </c>
      <c r="F3256" s="31">
        <v>1.7084999999999997</v>
      </c>
      <c r="G3256" s="34">
        <f t="shared" si="55"/>
        <v>1.7341274999999996</v>
      </c>
      <c r="H3256" s="39">
        <f>SUM(G3256:G3259)</f>
        <v>7.2978194999999992</v>
      </c>
      <c r="I3256" s="40"/>
      <c r="J3256" s="155">
        <v>0</v>
      </c>
    </row>
    <row r="3257" spans="1:10" ht="15" hidden="1" thickBot="1" x14ac:dyDescent="0.35">
      <c r="A3257" s="229"/>
      <c r="B3257" s="224"/>
      <c r="C3257" s="36" t="s">
        <v>592</v>
      </c>
      <c r="D3257" s="47" t="s">
        <v>292</v>
      </c>
      <c r="E3257" s="37">
        <v>8.9999999999999993E-3</v>
      </c>
      <c r="F3257" s="31">
        <v>3.1959999999999997</v>
      </c>
      <c r="G3257" s="34">
        <f t="shared" si="55"/>
        <v>2.8763999999999994E-2</v>
      </c>
      <c r="H3257" s="35"/>
      <c r="I3257" s="31"/>
      <c r="J3257" s="155">
        <v>0</v>
      </c>
    </row>
    <row r="3258" spans="1:10" ht="15" hidden="1" thickBot="1" x14ac:dyDescent="0.35">
      <c r="A3258" s="229"/>
      <c r="B3258" s="224"/>
      <c r="C3258" s="36" t="s">
        <v>74</v>
      </c>
      <c r="D3258" s="36" t="s">
        <v>12</v>
      </c>
      <c r="E3258" s="37">
        <v>0.152</v>
      </c>
      <c r="F3258" s="31">
        <v>15.928999999999998</v>
      </c>
      <c r="G3258" s="34">
        <f t="shared" si="55"/>
        <v>2.4212079999999996</v>
      </c>
      <c r="H3258" s="35"/>
      <c r="I3258" s="31"/>
      <c r="J3258" s="155">
        <v>0</v>
      </c>
    </row>
    <row r="3259" spans="1:10" ht="15" hidden="1" thickBot="1" x14ac:dyDescent="0.35">
      <c r="A3259" s="229"/>
      <c r="B3259" s="224"/>
      <c r="C3259" s="36" t="s">
        <v>30</v>
      </c>
      <c r="D3259" s="36" t="s">
        <v>12</v>
      </c>
      <c r="E3259" s="37">
        <v>0.152</v>
      </c>
      <c r="F3259" s="31">
        <v>20.484999999999999</v>
      </c>
      <c r="G3259" s="34">
        <f t="shared" si="55"/>
        <v>3.1137199999999998</v>
      </c>
      <c r="H3259" s="35"/>
      <c r="I3259" s="31"/>
      <c r="J3259" s="155">
        <v>0</v>
      </c>
    </row>
    <row r="3260" spans="1:10" ht="15" hidden="1" thickBot="1" x14ac:dyDescent="0.35">
      <c r="A3260" s="230"/>
      <c r="B3260" s="225"/>
      <c r="C3260" s="36"/>
      <c r="D3260" s="36"/>
      <c r="E3260" s="37"/>
      <c r="F3260" s="31" t="s">
        <v>560</v>
      </c>
      <c r="G3260" s="34" t="str">
        <f t="shared" si="55"/>
        <v/>
      </c>
      <c r="H3260" s="35"/>
      <c r="I3260" s="31"/>
      <c r="J3260" s="155">
        <v>0</v>
      </c>
    </row>
    <row r="3261" spans="1:10" ht="15" thickBot="1" x14ac:dyDescent="0.35">
      <c r="A3261" s="226" t="s">
        <v>1021</v>
      </c>
      <c r="B3261" s="223" t="str">
        <f>INDEX(Orçamentária!A:B,MATCH(Composições!A3261,Orçamentária!A:A,0),2)</f>
        <v>Condutor 150 mm²</v>
      </c>
      <c r="C3261" s="41"/>
      <c r="D3261" s="26" t="str">
        <f>TRIM(INDEX(Orçamentária!C:C,MATCH(Composições!A3261,Orçamentária!A:A,0),1))</f>
        <v>m</v>
      </c>
      <c r="E3261" s="27"/>
      <c r="F3261" s="42" t="s">
        <v>560</v>
      </c>
      <c r="G3261" s="28" t="str">
        <f t="shared" si="55"/>
        <v/>
      </c>
      <c r="H3261" s="29"/>
      <c r="I3261" s="30"/>
      <c r="J3261" s="155">
        <v>2500</v>
      </c>
    </row>
    <row r="3262" spans="1:10" x14ac:dyDescent="0.3">
      <c r="A3262" s="229"/>
      <c r="B3262" s="224"/>
      <c r="C3262" s="32"/>
      <c r="D3262" s="32"/>
      <c r="E3262" s="33"/>
      <c r="F3262" s="43" t="s">
        <v>560</v>
      </c>
      <c r="G3262" s="34" t="str">
        <f t="shared" si="55"/>
        <v/>
      </c>
      <c r="H3262" s="35"/>
      <c r="I3262" s="31"/>
      <c r="J3262" s="155">
        <v>2500</v>
      </c>
    </row>
    <row r="3263" spans="1:10" x14ac:dyDescent="0.3">
      <c r="A3263" s="229"/>
      <c r="B3263" s="224"/>
      <c r="C3263" s="36" t="s">
        <v>1022</v>
      </c>
      <c r="D3263" s="36" t="s">
        <v>93</v>
      </c>
      <c r="E3263" s="37">
        <v>1.0149999999999999</v>
      </c>
      <c r="F3263" s="31">
        <v>205.68299999999999</v>
      </c>
      <c r="G3263" s="34">
        <f t="shared" si="55"/>
        <v>208.76824499999998</v>
      </c>
      <c r="H3263" s="39">
        <f>SUM(G3263:G3266)</f>
        <v>215.31511499999999</v>
      </c>
      <c r="I3263" s="40"/>
      <c r="J3263" s="155">
        <v>2500</v>
      </c>
    </row>
    <row r="3264" spans="1:10" x14ac:dyDescent="0.3">
      <c r="A3264" s="229"/>
      <c r="B3264" s="224"/>
      <c r="C3264" s="36" t="s">
        <v>592</v>
      </c>
      <c r="D3264" s="47" t="s">
        <v>292</v>
      </c>
      <c r="E3264" s="37">
        <v>8.9999999999999993E-3</v>
      </c>
      <c r="F3264" s="31">
        <v>3.1959999999999997</v>
      </c>
      <c r="G3264" s="34">
        <f t="shared" si="55"/>
        <v>2.8763999999999994E-2</v>
      </c>
      <c r="H3264" s="35"/>
      <c r="I3264" s="31"/>
      <c r="J3264" s="155">
        <v>2500</v>
      </c>
    </row>
    <row r="3265" spans="1:10" x14ac:dyDescent="0.3">
      <c r="A3265" s="229"/>
      <c r="B3265" s="224"/>
      <c r="C3265" s="36" t="s">
        <v>74</v>
      </c>
      <c r="D3265" s="36" t="s">
        <v>12</v>
      </c>
      <c r="E3265" s="37">
        <v>0.17899999999999999</v>
      </c>
      <c r="F3265" s="31">
        <v>15.928999999999998</v>
      </c>
      <c r="G3265" s="34">
        <f t="shared" ref="G3265:G3328" si="56">IF(ISNUMBER(F3265),E3265*F3265,"")</f>
        <v>2.8512909999999998</v>
      </c>
      <c r="H3265" s="35"/>
      <c r="I3265" s="31"/>
      <c r="J3265" s="155">
        <v>2500</v>
      </c>
    </row>
    <row r="3266" spans="1:10" x14ac:dyDescent="0.3">
      <c r="A3266" s="229"/>
      <c r="B3266" s="224"/>
      <c r="C3266" s="36" t="s">
        <v>30</v>
      </c>
      <c r="D3266" s="36" t="s">
        <v>12</v>
      </c>
      <c r="E3266" s="37">
        <v>0.17899999999999999</v>
      </c>
      <c r="F3266" s="31">
        <v>20.484999999999999</v>
      </c>
      <c r="G3266" s="34">
        <f t="shared" si="56"/>
        <v>3.6668149999999997</v>
      </c>
      <c r="H3266" s="35"/>
      <c r="I3266" s="31"/>
      <c r="J3266" s="155">
        <v>2500</v>
      </c>
    </row>
    <row r="3267" spans="1:10" ht="15" thickBot="1" x14ac:dyDescent="0.35">
      <c r="A3267" s="230"/>
      <c r="B3267" s="225"/>
      <c r="C3267" s="36"/>
      <c r="D3267" s="36"/>
      <c r="E3267" s="37"/>
      <c r="F3267" s="31" t="s">
        <v>560</v>
      </c>
      <c r="G3267" s="34" t="str">
        <f t="shared" si="56"/>
        <v/>
      </c>
      <c r="H3267" s="35"/>
      <c r="I3267" s="31"/>
      <c r="J3267" s="155">
        <v>2500</v>
      </c>
    </row>
    <row r="3268" spans="1:10" ht="15" hidden="1" thickBot="1" x14ac:dyDescent="0.35">
      <c r="A3268" s="226" t="s">
        <v>1023</v>
      </c>
      <c r="B3268" s="223" t="e">
        <f>INDEX(#REF!,MATCH(Composições!A3268,#REF!,0),2)</f>
        <v>#REF!</v>
      </c>
      <c r="C3268" s="41"/>
      <c r="D3268" s="26" t="e">
        <f>TRIM(INDEX(#REF!,MATCH(Composições!A3268,#REF!,0),1))</f>
        <v>#REF!</v>
      </c>
      <c r="E3268" s="27"/>
      <c r="F3268" s="42" t="s">
        <v>560</v>
      </c>
      <c r="G3268" s="28" t="str">
        <f t="shared" si="56"/>
        <v/>
      </c>
      <c r="H3268" s="29"/>
      <c r="I3268" s="30"/>
      <c r="J3268" s="155">
        <v>0</v>
      </c>
    </row>
    <row r="3269" spans="1:10" ht="15" hidden="1" thickBot="1" x14ac:dyDescent="0.35">
      <c r="A3269" s="229"/>
      <c r="B3269" s="224"/>
      <c r="C3269" s="32"/>
      <c r="D3269" s="32"/>
      <c r="E3269" s="33"/>
      <c r="F3269" s="43" t="s">
        <v>560</v>
      </c>
      <c r="G3269" s="34" t="str">
        <f t="shared" si="56"/>
        <v/>
      </c>
      <c r="H3269" s="35"/>
      <c r="I3269" s="31"/>
      <c r="J3269" s="155">
        <v>0</v>
      </c>
    </row>
    <row r="3270" spans="1:10" ht="15" hidden="1" thickBot="1" x14ac:dyDescent="0.35">
      <c r="A3270" s="229"/>
      <c r="B3270" s="224"/>
      <c r="C3270" s="36" t="s">
        <v>1024</v>
      </c>
      <c r="D3270" s="36" t="s">
        <v>93</v>
      </c>
      <c r="E3270" s="37">
        <v>1.0149999999999999</v>
      </c>
      <c r="F3270" s="31">
        <v>439.69649999999996</v>
      </c>
      <c r="G3270" s="34">
        <f t="shared" si="56"/>
        <v>446.29194749999994</v>
      </c>
      <c r="H3270" s="39">
        <f>SUM(G3270:G3273)</f>
        <v>454.0404795</v>
      </c>
      <c r="I3270" s="40"/>
      <c r="J3270" s="155">
        <v>0</v>
      </c>
    </row>
    <row r="3271" spans="1:10" ht="15" hidden="1" thickBot="1" x14ac:dyDescent="0.35">
      <c r="A3271" s="229"/>
      <c r="B3271" s="224"/>
      <c r="C3271" s="36" t="s">
        <v>592</v>
      </c>
      <c r="D3271" s="47" t="s">
        <v>292</v>
      </c>
      <c r="E3271" s="37">
        <v>8.9999999999999993E-3</v>
      </c>
      <c r="F3271" s="31">
        <v>3.1959999999999997</v>
      </c>
      <c r="G3271" s="34">
        <f t="shared" si="56"/>
        <v>2.8763999999999994E-2</v>
      </c>
      <c r="H3271" s="35"/>
      <c r="I3271" s="31"/>
      <c r="J3271" s="155">
        <v>0</v>
      </c>
    </row>
    <row r="3272" spans="1:10" ht="15" hidden="1" thickBot="1" x14ac:dyDescent="0.35">
      <c r="A3272" s="229"/>
      <c r="B3272" s="224"/>
      <c r="C3272" s="36" t="s">
        <v>74</v>
      </c>
      <c r="D3272" s="36" t="s">
        <v>12</v>
      </c>
      <c r="E3272" s="37">
        <v>0.21199999999999999</v>
      </c>
      <c r="F3272" s="31">
        <v>15.928999999999998</v>
      </c>
      <c r="G3272" s="34">
        <f t="shared" si="56"/>
        <v>3.3769479999999996</v>
      </c>
      <c r="H3272" s="35"/>
      <c r="I3272" s="31"/>
      <c r="J3272" s="155">
        <v>0</v>
      </c>
    </row>
    <row r="3273" spans="1:10" ht="15" hidden="1" thickBot="1" x14ac:dyDescent="0.35">
      <c r="A3273" s="229"/>
      <c r="B3273" s="224"/>
      <c r="C3273" s="36" t="s">
        <v>30</v>
      </c>
      <c r="D3273" s="36" t="s">
        <v>12</v>
      </c>
      <c r="E3273" s="37">
        <v>0.21199999999999999</v>
      </c>
      <c r="F3273" s="31">
        <v>20.484999999999999</v>
      </c>
      <c r="G3273" s="34">
        <f t="shared" si="56"/>
        <v>4.3428199999999997</v>
      </c>
      <c r="H3273" s="35"/>
      <c r="I3273" s="31"/>
      <c r="J3273" s="155">
        <v>0</v>
      </c>
    </row>
    <row r="3274" spans="1:10" ht="15" hidden="1" thickBot="1" x14ac:dyDescent="0.35">
      <c r="A3274" s="230"/>
      <c r="B3274" s="225"/>
      <c r="C3274" s="36"/>
      <c r="D3274" s="36"/>
      <c r="E3274" s="37"/>
      <c r="F3274" s="31" t="s">
        <v>560</v>
      </c>
      <c r="G3274" s="34" t="str">
        <f t="shared" si="56"/>
        <v/>
      </c>
      <c r="H3274" s="35"/>
      <c r="I3274" s="31"/>
      <c r="J3274" s="155">
        <v>0</v>
      </c>
    </row>
    <row r="3275" spans="1:10" ht="15" thickBot="1" x14ac:dyDescent="0.35">
      <c r="A3275" s="226" t="s">
        <v>1025</v>
      </c>
      <c r="B3275" s="223" t="str">
        <f>INDEX(Orçamentária!A:B,MATCH(Composições!A3275,Orçamentária!A:A,0),2)</f>
        <v>Condutor 240 mm²</v>
      </c>
      <c r="C3275" s="41"/>
      <c r="D3275" s="26" t="str">
        <f>TRIM(INDEX(Orçamentária!C:C,MATCH(Composições!A3275,Orçamentária!A:A,0),1))</f>
        <v>m</v>
      </c>
      <c r="E3275" s="27"/>
      <c r="F3275" s="42" t="s">
        <v>560</v>
      </c>
      <c r="G3275" s="28" t="str">
        <f t="shared" si="56"/>
        <v/>
      </c>
      <c r="H3275" s="29"/>
      <c r="I3275" s="30"/>
      <c r="J3275" s="155">
        <v>2250</v>
      </c>
    </row>
    <row r="3276" spans="1:10" x14ac:dyDescent="0.3">
      <c r="A3276" s="229"/>
      <c r="B3276" s="224"/>
      <c r="C3276" s="32"/>
      <c r="D3276" s="32"/>
      <c r="E3276" s="33"/>
      <c r="F3276" s="43" t="s">
        <v>560</v>
      </c>
      <c r="G3276" s="34" t="str">
        <f t="shared" si="56"/>
        <v/>
      </c>
      <c r="H3276" s="35"/>
      <c r="I3276" s="31"/>
      <c r="J3276" s="155">
        <v>2250</v>
      </c>
    </row>
    <row r="3277" spans="1:10" x14ac:dyDescent="0.3">
      <c r="A3277" s="229"/>
      <c r="B3277" s="224"/>
      <c r="C3277" s="36" t="s">
        <v>1026</v>
      </c>
      <c r="D3277" s="36" t="s">
        <v>93</v>
      </c>
      <c r="E3277" s="37">
        <v>1.0149999999999999</v>
      </c>
      <c r="F3277" s="31">
        <v>328.83100000000002</v>
      </c>
      <c r="G3277" s="34">
        <f t="shared" si="56"/>
        <v>333.763465</v>
      </c>
      <c r="H3277" s="39">
        <f>SUM(G3277:G3280)</f>
        <v>336.122725</v>
      </c>
      <c r="I3277" s="40"/>
      <c r="J3277" s="155">
        <v>2250</v>
      </c>
    </row>
    <row r="3278" spans="1:10" x14ac:dyDescent="0.3">
      <c r="A3278" s="229"/>
      <c r="B3278" s="224"/>
      <c r="C3278" s="36" t="s">
        <v>592</v>
      </c>
      <c r="D3278" s="47" t="s">
        <v>292</v>
      </c>
      <c r="E3278" s="37">
        <v>8.9999999999999993E-3</v>
      </c>
      <c r="F3278" s="31">
        <v>3.1959999999999997</v>
      </c>
      <c r="G3278" s="34">
        <f t="shared" si="56"/>
        <v>2.8763999999999994E-2</v>
      </c>
      <c r="H3278" s="35"/>
      <c r="I3278" s="31"/>
      <c r="J3278" s="155">
        <v>2250</v>
      </c>
    </row>
    <row r="3279" spans="1:10" x14ac:dyDescent="0.3">
      <c r="A3279" s="229"/>
      <c r="B3279" s="224"/>
      <c r="C3279" s="36" t="s">
        <v>74</v>
      </c>
      <c r="D3279" s="36" t="s">
        <v>12</v>
      </c>
      <c r="E3279" s="37">
        <v>6.4000000000000001E-2</v>
      </c>
      <c r="F3279" s="31">
        <v>15.928999999999998</v>
      </c>
      <c r="G3279" s="34">
        <f t="shared" si="56"/>
        <v>1.0194559999999999</v>
      </c>
      <c r="H3279" s="35"/>
      <c r="I3279" s="31"/>
      <c r="J3279" s="155">
        <v>2250</v>
      </c>
    </row>
    <row r="3280" spans="1:10" x14ac:dyDescent="0.3">
      <c r="A3280" s="229"/>
      <c r="B3280" s="224"/>
      <c r="C3280" s="36" t="s">
        <v>30</v>
      </c>
      <c r="D3280" s="36" t="s">
        <v>12</v>
      </c>
      <c r="E3280" s="37">
        <v>6.4000000000000001E-2</v>
      </c>
      <c r="F3280" s="31">
        <v>20.484999999999999</v>
      </c>
      <c r="G3280" s="34">
        <f t="shared" si="56"/>
        <v>1.31104</v>
      </c>
      <c r="H3280" s="35"/>
      <c r="I3280" s="31"/>
      <c r="J3280" s="155">
        <v>2250</v>
      </c>
    </row>
    <row r="3281" spans="1:10" ht="15" thickBot="1" x14ac:dyDescent="0.35">
      <c r="A3281" s="230"/>
      <c r="B3281" s="225"/>
      <c r="C3281" s="36"/>
      <c r="D3281" s="36"/>
      <c r="E3281" s="37"/>
      <c r="F3281" s="31" t="s">
        <v>560</v>
      </c>
      <c r="G3281" s="34" t="str">
        <f t="shared" si="56"/>
        <v/>
      </c>
      <c r="H3281" s="35"/>
      <c r="I3281" s="31"/>
      <c r="J3281" s="155">
        <v>2250</v>
      </c>
    </row>
    <row r="3282" spans="1:10" ht="15" hidden="1" thickBot="1" x14ac:dyDescent="0.35">
      <c r="A3282" s="226" t="s">
        <v>1027</v>
      </c>
      <c r="B3282" s="223" t="e">
        <f>INDEX(#REF!,MATCH(Composições!A3282,#REF!,0),2)</f>
        <v>#REF!</v>
      </c>
      <c r="C3282" s="41"/>
      <c r="D3282" s="26" t="e">
        <f>TRIM(INDEX(#REF!,MATCH(Composições!A3282,#REF!,0),1))</f>
        <v>#REF!</v>
      </c>
      <c r="E3282" s="27"/>
      <c r="F3282" s="42" t="s">
        <v>560</v>
      </c>
      <c r="G3282" s="28" t="str">
        <f t="shared" si="56"/>
        <v/>
      </c>
      <c r="H3282" s="29"/>
      <c r="I3282" s="30"/>
      <c r="J3282" s="155">
        <v>0</v>
      </c>
    </row>
    <row r="3283" spans="1:10" ht="15" hidden="1" thickBot="1" x14ac:dyDescent="0.35">
      <c r="A3283" s="229"/>
      <c r="B3283" s="224"/>
      <c r="C3283" s="32"/>
      <c r="D3283" s="32"/>
      <c r="E3283" s="33"/>
      <c r="F3283" s="43" t="s">
        <v>560</v>
      </c>
      <c r="G3283" s="34" t="str">
        <f t="shared" si="56"/>
        <v/>
      </c>
      <c r="H3283" s="35"/>
      <c r="I3283" s="31"/>
      <c r="J3283" s="155">
        <v>0</v>
      </c>
    </row>
    <row r="3284" spans="1:10" ht="27" hidden="1" thickBot="1" x14ac:dyDescent="0.35">
      <c r="A3284" s="229"/>
      <c r="B3284" s="224"/>
      <c r="C3284" s="36" t="s">
        <v>1028</v>
      </c>
      <c r="D3284" s="47" t="s">
        <v>744</v>
      </c>
      <c r="E3284" s="37">
        <v>0.29509999999999997</v>
      </c>
      <c r="F3284" s="31">
        <v>15.4785</v>
      </c>
      <c r="G3284" s="34">
        <f t="shared" si="56"/>
        <v>4.5677053499999998</v>
      </c>
      <c r="H3284" s="39">
        <f>SUM(G3284:G3286)</f>
        <v>6.9829347945899993</v>
      </c>
      <c r="I3284" s="40"/>
      <c r="J3284" s="155">
        <v>0</v>
      </c>
    </row>
    <row r="3285" spans="1:10" ht="15" hidden="1" thickBot="1" x14ac:dyDescent="0.35">
      <c r="A3285" s="229"/>
      <c r="B3285" s="224"/>
      <c r="C3285" s="36" t="s">
        <v>745</v>
      </c>
      <c r="D3285" s="47" t="s">
        <v>744</v>
      </c>
      <c r="E3285" s="37">
        <v>5.8999999999999997E-2</v>
      </c>
      <c r="F3285" s="31">
        <v>14.968499999999999</v>
      </c>
      <c r="G3285" s="34">
        <f t="shared" si="56"/>
        <v>0.88314149999999991</v>
      </c>
      <c r="H3285" s="35"/>
      <c r="I3285" s="31"/>
      <c r="J3285" s="155">
        <v>0</v>
      </c>
    </row>
    <row r="3286" spans="1:10" ht="40.200000000000003" hidden="1" thickBot="1" x14ac:dyDescent="0.35">
      <c r="A3286" s="229"/>
      <c r="B3286" s="224"/>
      <c r="C3286" s="36" t="s">
        <v>1029</v>
      </c>
      <c r="D3286" s="47" t="s">
        <v>1030</v>
      </c>
      <c r="E3286" s="37">
        <v>0.1673</v>
      </c>
      <c r="F3286" s="31">
        <v>9.1577282999999987</v>
      </c>
      <c r="G3286" s="34">
        <f t="shared" si="56"/>
        <v>1.5320879445899998</v>
      </c>
      <c r="H3286" s="35"/>
      <c r="I3286" s="31"/>
      <c r="J3286" s="155">
        <v>0</v>
      </c>
    </row>
    <row r="3287" spans="1:10" ht="15" hidden="1" thickBot="1" x14ac:dyDescent="0.35">
      <c r="A3287" s="230"/>
      <c r="B3287" s="225"/>
      <c r="C3287" s="36"/>
      <c r="D3287" s="36"/>
      <c r="E3287" s="37"/>
      <c r="F3287" s="31" t="s">
        <v>560</v>
      </c>
      <c r="G3287" s="34" t="str">
        <f t="shared" si="56"/>
        <v/>
      </c>
      <c r="H3287" s="35"/>
      <c r="I3287" s="31"/>
      <c r="J3287" s="155">
        <v>0</v>
      </c>
    </row>
    <row r="3288" spans="1:10" ht="15" hidden="1" thickBot="1" x14ac:dyDescent="0.35">
      <c r="A3288" s="226" t="s">
        <v>1031</v>
      </c>
      <c r="B3288" s="223" t="e">
        <f>INDEX(#REF!,MATCH(Composições!A3288,#REF!,0),2)</f>
        <v>#REF!</v>
      </c>
      <c r="C3288" s="41"/>
      <c r="D3288" s="26" t="e">
        <f>TRIM(INDEX(#REF!,MATCH(Composições!A3288,#REF!,0),1))</f>
        <v>#REF!</v>
      </c>
      <c r="E3288" s="27"/>
      <c r="F3288" s="42" t="s">
        <v>560</v>
      </c>
      <c r="G3288" s="28" t="str">
        <f t="shared" si="56"/>
        <v/>
      </c>
      <c r="H3288" s="29"/>
      <c r="I3288" s="30"/>
      <c r="J3288" s="155">
        <v>0</v>
      </c>
    </row>
    <row r="3289" spans="1:10" ht="15" hidden="1" thickBot="1" x14ac:dyDescent="0.35">
      <c r="A3289" s="229"/>
      <c r="B3289" s="224"/>
      <c r="C3289" s="32"/>
      <c r="D3289" s="32"/>
      <c r="E3289" s="33"/>
      <c r="F3289" s="43" t="s">
        <v>560</v>
      </c>
      <c r="G3289" s="34" t="str">
        <f t="shared" si="56"/>
        <v/>
      </c>
      <c r="H3289" s="35"/>
      <c r="I3289" s="31"/>
      <c r="J3289" s="155">
        <v>0</v>
      </c>
    </row>
    <row r="3290" spans="1:10" ht="27" hidden="1" thickBot="1" x14ac:dyDescent="0.35">
      <c r="A3290" s="229"/>
      <c r="B3290" s="224"/>
      <c r="C3290" s="36" t="s">
        <v>1028</v>
      </c>
      <c r="D3290" s="47" t="s">
        <v>744</v>
      </c>
      <c r="E3290" s="37">
        <v>0.5</v>
      </c>
      <c r="F3290" s="31">
        <v>15.4785</v>
      </c>
      <c r="G3290" s="34">
        <f t="shared" si="56"/>
        <v>7.7392500000000002</v>
      </c>
      <c r="H3290" s="39">
        <f>SUM(G3290:G3292)</f>
        <v>12.9175067766</v>
      </c>
      <c r="I3290" s="40"/>
      <c r="J3290" s="155">
        <v>0</v>
      </c>
    </row>
    <row r="3291" spans="1:10" ht="15" hidden="1" thickBot="1" x14ac:dyDescent="0.35">
      <c r="A3291" s="229"/>
      <c r="B3291" s="224"/>
      <c r="C3291" s="36" t="s">
        <v>745</v>
      </c>
      <c r="D3291" s="47" t="s">
        <v>744</v>
      </c>
      <c r="E3291" s="37">
        <v>0.1</v>
      </c>
      <c r="F3291" s="31">
        <v>14.968499999999999</v>
      </c>
      <c r="G3291" s="34">
        <f t="shared" si="56"/>
        <v>1.49685</v>
      </c>
      <c r="H3291" s="39"/>
      <c r="I3291" s="40"/>
      <c r="J3291" s="155">
        <v>0</v>
      </c>
    </row>
    <row r="3292" spans="1:10" ht="40.200000000000003" hidden="1" thickBot="1" x14ac:dyDescent="0.35">
      <c r="A3292" s="229"/>
      <c r="B3292" s="224"/>
      <c r="C3292" s="36" t="s">
        <v>1029</v>
      </c>
      <c r="D3292" s="47" t="s">
        <v>1030</v>
      </c>
      <c r="E3292" s="37">
        <v>0.40200000000000002</v>
      </c>
      <c r="F3292" s="31">
        <v>9.1577282999999987</v>
      </c>
      <c r="G3292" s="34">
        <f t="shared" si="56"/>
        <v>3.6814067765999998</v>
      </c>
      <c r="H3292" s="35"/>
      <c r="I3292" s="31"/>
      <c r="J3292" s="155">
        <v>0</v>
      </c>
    </row>
    <row r="3293" spans="1:10" ht="15" hidden="1" thickBot="1" x14ac:dyDescent="0.35">
      <c r="A3293" s="230"/>
      <c r="B3293" s="225"/>
      <c r="C3293" s="36"/>
      <c r="D3293" s="36"/>
      <c r="E3293" s="37"/>
      <c r="F3293" s="31" t="s">
        <v>560</v>
      </c>
      <c r="G3293" s="34" t="str">
        <f t="shared" si="56"/>
        <v/>
      </c>
      <c r="H3293" s="35"/>
      <c r="I3293" s="31"/>
      <c r="J3293" s="155">
        <v>0</v>
      </c>
    </row>
    <row r="3294" spans="1:10" ht="15" hidden="1" thickBot="1" x14ac:dyDescent="0.35">
      <c r="A3294" s="226" t="s">
        <v>1032</v>
      </c>
      <c r="B3294" s="223" t="e">
        <f>INDEX(#REF!,MATCH(Composições!A3294,#REF!,0),2)</f>
        <v>#REF!</v>
      </c>
      <c r="C3294" s="41"/>
      <c r="D3294" s="26" t="e">
        <f>TRIM(INDEX(#REF!,MATCH(Composições!A3294,#REF!,0),1))</f>
        <v>#REF!</v>
      </c>
      <c r="E3294" s="27"/>
      <c r="F3294" s="42" t="s">
        <v>560</v>
      </c>
      <c r="G3294" s="28" t="str">
        <f t="shared" si="56"/>
        <v/>
      </c>
      <c r="H3294" s="29"/>
      <c r="I3294" s="30"/>
      <c r="J3294" s="155">
        <v>0</v>
      </c>
    </row>
    <row r="3295" spans="1:10" ht="15" hidden="1" thickBot="1" x14ac:dyDescent="0.35">
      <c r="A3295" s="229"/>
      <c r="B3295" s="224"/>
      <c r="C3295" s="32"/>
      <c r="D3295" s="32"/>
      <c r="E3295" s="33"/>
      <c r="F3295" s="43" t="s">
        <v>560</v>
      </c>
      <c r="G3295" s="34" t="str">
        <f t="shared" si="56"/>
        <v/>
      </c>
      <c r="H3295" s="35"/>
      <c r="I3295" s="31"/>
      <c r="J3295" s="155">
        <v>0</v>
      </c>
    </row>
    <row r="3296" spans="1:10" ht="27" hidden="1" thickBot="1" x14ac:dyDescent="0.35">
      <c r="A3296" s="229"/>
      <c r="B3296" s="224"/>
      <c r="C3296" s="36" t="s">
        <v>1033</v>
      </c>
      <c r="D3296" s="47" t="s">
        <v>292</v>
      </c>
      <c r="E3296" s="37">
        <v>0.89449999999999996</v>
      </c>
      <c r="F3296" s="31">
        <v>0.11900000000000001</v>
      </c>
      <c r="G3296" s="34">
        <f t="shared" si="56"/>
        <v>0.1064455</v>
      </c>
      <c r="H3296" s="39">
        <f>SUM(G3296:G3299)</f>
        <v>3.4633505000000002</v>
      </c>
      <c r="I3296" s="40"/>
      <c r="J3296" s="155">
        <v>0</v>
      </c>
    </row>
    <row r="3297" spans="1:10" ht="27" hidden="1" thickBot="1" x14ac:dyDescent="0.35">
      <c r="A3297" s="229"/>
      <c r="B3297" s="224"/>
      <c r="C3297" s="36" t="s">
        <v>1034</v>
      </c>
      <c r="D3297" s="47" t="s">
        <v>1035</v>
      </c>
      <c r="E3297" s="37">
        <f>ROUND(1.177*(1/3),4)</f>
        <v>0.39229999999999998</v>
      </c>
      <c r="F3297" s="31">
        <v>1.768</v>
      </c>
      <c r="G3297" s="34">
        <f t="shared" si="56"/>
        <v>0.69358639999999994</v>
      </c>
      <c r="H3297" s="35"/>
      <c r="I3297" s="31"/>
      <c r="J3297" s="155">
        <v>0</v>
      </c>
    </row>
    <row r="3298" spans="1:10" ht="15" hidden="1" thickBot="1" x14ac:dyDescent="0.35">
      <c r="A3298" s="229"/>
      <c r="B3298" s="224"/>
      <c r="C3298" s="36" t="s">
        <v>827</v>
      </c>
      <c r="D3298" s="47" t="s">
        <v>744</v>
      </c>
      <c r="E3298" s="37">
        <v>6.9900000000000004E-2</v>
      </c>
      <c r="F3298" s="31">
        <v>16.966000000000001</v>
      </c>
      <c r="G3298" s="34">
        <f t="shared" si="56"/>
        <v>1.1859234000000001</v>
      </c>
      <c r="H3298" s="35"/>
      <c r="I3298" s="31"/>
      <c r="J3298" s="155">
        <v>0</v>
      </c>
    </row>
    <row r="3299" spans="1:10" ht="15" hidden="1" thickBot="1" x14ac:dyDescent="0.35">
      <c r="A3299" s="229"/>
      <c r="B3299" s="224"/>
      <c r="C3299" s="36" t="s">
        <v>1036</v>
      </c>
      <c r="D3299" s="47" t="s">
        <v>744</v>
      </c>
      <c r="E3299" s="37">
        <v>7.3400000000000007E-2</v>
      </c>
      <c r="F3299" s="31">
        <v>20.128</v>
      </c>
      <c r="G3299" s="34">
        <f t="shared" si="56"/>
        <v>1.4773952000000001</v>
      </c>
      <c r="H3299" s="35"/>
      <c r="I3299" s="31"/>
      <c r="J3299" s="155">
        <v>0</v>
      </c>
    </row>
    <row r="3300" spans="1:10" ht="15" hidden="1" thickBot="1" x14ac:dyDescent="0.35">
      <c r="A3300" s="229"/>
      <c r="B3300" s="224"/>
      <c r="C3300" s="36"/>
      <c r="D3300" s="47"/>
      <c r="E3300" s="37"/>
      <c r="F3300" s="31" t="s">
        <v>560</v>
      </c>
      <c r="G3300" s="34" t="str">
        <f t="shared" si="56"/>
        <v/>
      </c>
      <c r="H3300" s="35"/>
      <c r="I3300" s="31"/>
      <c r="J3300" s="155">
        <v>0</v>
      </c>
    </row>
    <row r="3301" spans="1:10" ht="27" hidden="1" thickBot="1" x14ac:dyDescent="0.35">
      <c r="A3301" s="229"/>
      <c r="B3301" s="224"/>
      <c r="C3301" s="52" t="s">
        <v>1037</v>
      </c>
      <c r="D3301" s="47"/>
      <c r="E3301" s="37"/>
      <c r="F3301" s="31" t="s">
        <v>560</v>
      </c>
      <c r="G3301" s="34" t="str">
        <f t="shared" si="56"/>
        <v/>
      </c>
      <c r="H3301" s="35"/>
      <c r="I3301" s="31"/>
      <c r="J3301" s="155">
        <v>0</v>
      </c>
    </row>
    <row r="3302" spans="1:10" ht="15" hidden="1" thickBot="1" x14ac:dyDescent="0.35">
      <c r="A3302" s="230"/>
      <c r="B3302" s="225"/>
      <c r="C3302" s="55"/>
      <c r="D3302" s="55"/>
      <c r="E3302" s="66"/>
      <c r="F3302" s="67" t="s">
        <v>560</v>
      </c>
      <c r="G3302" s="68" t="str">
        <f t="shared" si="56"/>
        <v/>
      </c>
      <c r="H3302" s="69"/>
      <c r="I3302" s="31"/>
      <c r="J3302" s="155">
        <v>0</v>
      </c>
    </row>
    <row r="3303" spans="1:10" ht="15" hidden="1" thickBot="1" x14ac:dyDescent="0.35">
      <c r="A3303" s="226" t="s">
        <v>1038</v>
      </c>
      <c r="B3303" s="223" t="e">
        <f>INDEX(#REF!,MATCH(Composições!A3303,#REF!,0),2)</f>
        <v>#REF!</v>
      </c>
      <c r="C3303" s="41"/>
      <c r="D3303" s="26" t="e">
        <f>TRIM(INDEX(#REF!,MATCH(Composições!A3303,#REF!,0),1))</f>
        <v>#REF!</v>
      </c>
      <c r="E3303" s="27"/>
      <c r="F3303" s="42" t="s">
        <v>560</v>
      </c>
      <c r="G3303" s="28" t="str">
        <f t="shared" si="56"/>
        <v/>
      </c>
      <c r="H3303" s="29"/>
      <c r="I3303" s="30"/>
      <c r="J3303" s="155">
        <v>0</v>
      </c>
    </row>
    <row r="3304" spans="1:10" ht="15" hidden="1" thickBot="1" x14ac:dyDescent="0.35">
      <c r="A3304" s="229"/>
      <c r="B3304" s="224"/>
      <c r="C3304" s="32"/>
      <c r="D3304" s="32"/>
      <c r="E3304" s="33"/>
      <c r="F3304" s="43" t="s">
        <v>560</v>
      </c>
      <c r="G3304" s="34" t="str">
        <f t="shared" si="56"/>
        <v/>
      </c>
      <c r="H3304" s="35"/>
      <c r="I3304" s="31"/>
      <c r="J3304" s="155">
        <v>0</v>
      </c>
    </row>
    <row r="3305" spans="1:10" ht="15" hidden="1" thickBot="1" x14ac:dyDescent="0.35">
      <c r="A3305" s="229"/>
      <c r="B3305" s="224"/>
      <c r="C3305" s="36" t="s">
        <v>655</v>
      </c>
      <c r="D3305" s="36" t="s">
        <v>12</v>
      </c>
      <c r="E3305" s="37">
        <v>2.5</v>
      </c>
      <c r="F3305" s="31">
        <v>20.213000000000001</v>
      </c>
      <c r="G3305" s="34">
        <f t="shared" si="56"/>
        <v>50.532499999999999</v>
      </c>
      <c r="H3305" s="39">
        <f>SUM(G3305:G3306)</f>
        <v>132.6</v>
      </c>
      <c r="I3305" s="40"/>
      <c r="J3305" s="155">
        <v>0</v>
      </c>
    </row>
    <row r="3306" spans="1:10" ht="15" hidden="1" thickBot="1" x14ac:dyDescent="0.35">
      <c r="A3306" s="229"/>
      <c r="B3306" s="224"/>
      <c r="C3306" s="36" t="s">
        <v>656</v>
      </c>
      <c r="D3306" s="36" t="s">
        <v>12</v>
      </c>
      <c r="E3306" s="37">
        <v>5</v>
      </c>
      <c r="F3306" s="31">
        <v>16.413499999999999</v>
      </c>
      <c r="G3306" s="34">
        <f t="shared" si="56"/>
        <v>82.067499999999995</v>
      </c>
      <c r="H3306" s="35"/>
      <c r="I3306" s="31"/>
      <c r="J3306" s="155">
        <v>0</v>
      </c>
    </row>
    <row r="3307" spans="1:10" ht="15" hidden="1" thickBot="1" x14ac:dyDescent="0.35">
      <c r="A3307" s="230"/>
      <c r="B3307" s="225"/>
      <c r="C3307" s="36"/>
      <c r="D3307" s="36"/>
      <c r="E3307" s="37"/>
      <c r="F3307" s="31" t="s">
        <v>560</v>
      </c>
      <c r="G3307" s="34" t="str">
        <f t="shared" si="56"/>
        <v/>
      </c>
      <c r="H3307" s="35"/>
      <c r="I3307" s="31"/>
      <c r="J3307" s="155">
        <v>0</v>
      </c>
    </row>
    <row r="3308" spans="1:10" ht="15" hidden="1" thickBot="1" x14ac:dyDescent="0.35">
      <c r="A3308" s="226" t="s">
        <v>1039</v>
      </c>
      <c r="B3308" s="223" t="e">
        <f>INDEX(#REF!,MATCH(Composições!A3308,#REF!,0),2)</f>
        <v>#REF!</v>
      </c>
      <c r="C3308" s="41"/>
      <c r="D3308" s="26" t="e">
        <f>TRIM(INDEX(#REF!,MATCH(Composições!A3308,#REF!,0),1))</f>
        <v>#REF!</v>
      </c>
      <c r="E3308" s="27"/>
      <c r="F3308" s="42" t="s">
        <v>560</v>
      </c>
      <c r="G3308" s="28" t="str">
        <f t="shared" si="56"/>
        <v/>
      </c>
      <c r="H3308" s="29"/>
      <c r="I3308" s="30"/>
      <c r="J3308" s="155">
        <v>0</v>
      </c>
    </row>
    <row r="3309" spans="1:10" ht="15" hidden="1" thickBot="1" x14ac:dyDescent="0.35">
      <c r="A3309" s="229"/>
      <c r="B3309" s="224"/>
      <c r="C3309" s="32"/>
      <c r="D3309" s="32"/>
      <c r="E3309" s="33"/>
      <c r="F3309" s="43" t="s">
        <v>560</v>
      </c>
      <c r="G3309" s="34" t="str">
        <f t="shared" si="56"/>
        <v/>
      </c>
      <c r="H3309" s="35"/>
      <c r="I3309" s="31"/>
      <c r="J3309" s="155">
        <v>0</v>
      </c>
    </row>
    <row r="3310" spans="1:10" ht="27" hidden="1" thickBot="1" x14ac:dyDescent="0.35">
      <c r="A3310" s="229"/>
      <c r="B3310" s="224"/>
      <c r="C3310" s="36" t="s">
        <v>1040</v>
      </c>
      <c r="D3310" s="47" t="s">
        <v>147</v>
      </c>
      <c r="E3310" s="37">
        <v>1</v>
      </c>
      <c r="F3310" s="31" t="s">
        <v>560</v>
      </c>
      <c r="G3310" s="34" t="str">
        <f t="shared" si="56"/>
        <v/>
      </c>
      <c r="H3310" s="39">
        <f>SUM(G3310:G3313)</f>
        <v>27.521584749999995</v>
      </c>
      <c r="I3310" s="40"/>
      <c r="J3310" s="155">
        <v>0</v>
      </c>
    </row>
    <row r="3311" spans="1:10" ht="15" hidden="1" thickBot="1" x14ac:dyDescent="0.35">
      <c r="A3311" s="229"/>
      <c r="B3311" s="224"/>
      <c r="C3311" s="36" t="s">
        <v>338</v>
      </c>
      <c r="D3311" s="47" t="s">
        <v>292</v>
      </c>
      <c r="E3311" s="37">
        <v>9.4999999999999998E-3</v>
      </c>
      <c r="F3311" s="31">
        <v>11.4665</v>
      </c>
      <c r="G3311" s="34">
        <f t="shared" si="56"/>
        <v>0.10893174999999999</v>
      </c>
      <c r="H3311" s="35"/>
      <c r="I3311" s="31"/>
      <c r="J3311" s="155">
        <v>0</v>
      </c>
    </row>
    <row r="3312" spans="1:10" ht="15" hidden="1" thickBot="1" x14ac:dyDescent="0.35">
      <c r="A3312" s="229"/>
      <c r="B3312" s="224"/>
      <c r="C3312" s="36" t="s">
        <v>39</v>
      </c>
      <c r="D3312" s="47" t="s">
        <v>12</v>
      </c>
      <c r="E3312" s="37">
        <v>0.77449999999999997</v>
      </c>
      <c r="F3312" s="31">
        <v>19.898499999999999</v>
      </c>
      <c r="G3312" s="34">
        <f t="shared" si="56"/>
        <v>15.411388249999998</v>
      </c>
      <c r="H3312" s="35"/>
      <c r="I3312" s="31"/>
      <c r="J3312" s="155">
        <v>0</v>
      </c>
    </row>
    <row r="3313" spans="1:10" ht="15" hidden="1" thickBot="1" x14ac:dyDescent="0.35">
      <c r="A3313" s="229"/>
      <c r="B3313" s="224"/>
      <c r="C3313" s="36" t="s">
        <v>108</v>
      </c>
      <c r="D3313" s="36" t="s">
        <v>12</v>
      </c>
      <c r="E3313" s="37">
        <v>0.77449999999999997</v>
      </c>
      <c r="F3313" s="31">
        <v>15.4955</v>
      </c>
      <c r="G3313" s="34">
        <f t="shared" si="56"/>
        <v>12.001264749999999</v>
      </c>
      <c r="H3313" s="35"/>
      <c r="I3313" s="31"/>
      <c r="J3313" s="155">
        <v>0</v>
      </c>
    </row>
    <row r="3314" spans="1:10" ht="15" hidden="1" thickBot="1" x14ac:dyDescent="0.35">
      <c r="A3314" s="230"/>
      <c r="B3314" s="225"/>
      <c r="C3314" s="36"/>
      <c r="D3314" s="36"/>
      <c r="E3314" s="37"/>
      <c r="F3314" s="31" t="s">
        <v>560</v>
      </c>
      <c r="G3314" s="34" t="str">
        <f t="shared" si="56"/>
        <v/>
      </c>
      <c r="H3314" s="35"/>
      <c r="I3314" s="31"/>
      <c r="J3314" s="155">
        <v>0</v>
      </c>
    </row>
    <row r="3315" spans="1:10" ht="15" hidden="1" thickBot="1" x14ac:dyDescent="0.35">
      <c r="A3315" s="226" t="s">
        <v>1041</v>
      </c>
      <c r="B3315" s="223" t="e">
        <f>INDEX(#REF!,MATCH(Composições!A3315,#REF!,0),2)</f>
        <v>#REF!</v>
      </c>
      <c r="C3315" s="41"/>
      <c r="D3315" s="26" t="e">
        <f>TRIM(INDEX(#REF!,MATCH(Composições!A3315,#REF!,0),1))</f>
        <v>#REF!</v>
      </c>
      <c r="E3315" s="27"/>
      <c r="F3315" s="42" t="s">
        <v>560</v>
      </c>
      <c r="G3315" s="28" t="str">
        <f t="shared" si="56"/>
        <v/>
      </c>
      <c r="H3315" s="29"/>
      <c r="I3315" s="30"/>
      <c r="J3315" s="155">
        <v>0</v>
      </c>
    </row>
    <row r="3316" spans="1:10" ht="15" hidden="1" thickBot="1" x14ac:dyDescent="0.35">
      <c r="A3316" s="229"/>
      <c r="B3316" s="224"/>
      <c r="C3316" s="32"/>
      <c r="D3316" s="32"/>
      <c r="E3316" s="33"/>
      <c r="F3316" s="43" t="s">
        <v>560</v>
      </c>
      <c r="G3316" s="34" t="str">
        <f t="shared" si="56"/>
        <v/>
      </c>
      <c r="H3316" s="35"/>
      <c r="I3316" s="31"/>
      <c r="J3316" s="155">
        <v>0</v>
      </c>
    </row>
    <row r="3317" spans="1:10" ht="15" hidden="1" thickBot="1" x14ac:dyDescent="0.35">
      <c r="A3317" s="229"/>
      <c r="B3317" s="224"/>
      <c r="C3317" s="36" t="s">
        <v>338</v>
      </c>
      <c r="D3317" s="47" t="s">
        <v>292</v>
      </c>
      <c r="E3317" s="37">
        <v>1.2999999999999999E-2</v>
      </c>
      <c r="F3317" s="31">
        <v>11.4665</v>
      </c>
      <c r="G3317" s="34">
        <f t="shared" si="56"/>
        <v>0.14906449999999999</v>
      </c>
      <c r="H3317" s="39">
        <f>SUM(G3317:G3320)</f>
        <v>7.2278644999999999</v>
      </c>
      <c r="I3317" s="40"/>
      <c r="J3317" s="155">
        <v>0</v>
      </c>
    </row>
    <row r="3318" spans="1:10" ht="27" hidden="1" thickBot="1" x14ac:dyDescent="0.35">
      <c r="A3318" s="229"/>
      <c r="B3318" s="224"/>
      <c r="C3318" s="36" t="s">
        <v>1042</v>
      </c>
      <c r="D3318" s="47" t="s">
        <v>147</v>
      </c>
      <c r="E3318" s="37">
        <v>1</v>
      </c>
      <c r="F3318" s="31" t="s">
        <v>560</v>
      </c>
      <c r="G3318" s="34" t="str">
        <f t="shared" si="56"/>
        <v/>
      </c>
      <c r="H3318" s="35"/>
      <c r="I3318" s="31"/>
      <c r="J3318" s="155">
        <v>0</v>
      </c>
    </row>
    <row r="3319" spans="1:10" ht="15" hidden="1" thickBot="1" x14ac:dyDescent="0.35">
      <c r="A3319" s="229"/>
      <c r="B3319" s="224"/>
      <c r="C3319" s="36" t="s">
        <v>108</v>
      </c>
      <c r="D3319" s="47" t="s">
        <v>12</v>
      </c>
      <c r="E3319" s="37">
        <v>0.2</v>
      </c>
      <c r="F3319" s="31">
        <v>15.4955</v>
      </c>
      <c r="G3319" s="34">
        <f t="shared" si="56"/>
        <v>3.0991</v>
      </c>
      <c r="H3319" s="35"/>
      <c r="I3319" s="31"/>
      <c r="J3319" s="155">
        <v>0</v>
      </c>
    </row>
    <row r="3320" spans="1:10" ht="15" hidden="1" thickBot="1" x14ac:dyDescent="0.35">
      <c r="A3320" s="229"/>
      <c r="B3320" s="224"/>
      <c r="C3320" s="36" t="s">
        <v>39</v>
      </c>
      <c r="D3320" s="36" t="s">
        <v>12</v>
      </c>
      <c r="E3320" s="37">
        <v>0.2</v>
      </c>
      <c r="F3320" s="31">
        <v>19.898499999999999</v>
      </c>
      <c r="G3320" s="34">
        <f t="shared" si="56"/>
        <v>3.9796999999999998</v>
      </c>
      <c r="H3320" s="35"/>
      <c r="I3320" s="31"/>
      <c r="J3320" s="155">
        <v>0</v>
      </c>
    </row>
    <row r="3321" spans="1:10" ht="15" hidden="1" thickBot="1" x14ac:dyDescent="0.35">
      <c r="A3321" s="230"/>
      <c r="B3321" s="225"/>
      <c r="C3321" s="36"/>
      <c r="D3321" s="36"/>
      <c r="E3321" s="37"/>
      <c r="F3321" s="31" t="s">
        <v>560</v>
      </c>
      <c r="G3321" s="34" t="str">
        <f t="shared" si="56"/>
        <v/>
      </c>
      <c r="H3321" s="35"/>
      <c r="I3321" s="31"/>
      <c r="J3321" s="155">
        <v>0</v>
      </c>
    </row>
    <row r="3322" spans="1:10" ht="15" thickBot="1" x14ac:dyDescent="0.35">
      <c r="A3322" s="226" t="s">
        <v>1043</v>
      </c>
      <c r="B3322" s="223" t="str">
        <f>INDEX(Orçamentária!A:B,MATCH(Composições!A3322,Orçamentária!A:A,0),2)</f>
        <v>Tampa em ferro fundido T33</v>
      </c>
      <c r="C3322" s="41"/>
      <c r="D3322" s="26" t="str">
        <f>TRIM(INDEX(Orçamentária!C:C,MATCH(Composições!A3322,Orçamentária!A:A,0),1))</f>
        <v>un</v>
      </c>
      <c r="E3322" s="27"/>
      <c r="F3322" s="42" t="s">
        <v>560</v>
      </c>
      <c r="G3322" s="28" t="str">
        <f t="shared" si="56"/>
        <v/>
      </c>
      <c r="H3322" s="29"/>
      <c r="I3322" s="30"/>
      <c r="J3322" s="155">
        <v>5</v>
      </c>
    </row>
    <row r="3323" spans="1:10" x14ac:dyDescent="0.3">
      <c r="A3323" s="229"/>
      <c r="B3323" s="224"/>
      <c r="C3323" s="32"/>
      <c r="D3323" s="32"/>
      <c r="E3323" s="33"/>
      <c r="F3323" s="43" t="s">
        <v>560</v>
      </c>
      <c r="G3323" s="34" t="str">
        <f t="shared" si="56"/>
        <v/>
      </c>
      <c r="H3323" s="35"/>
      <c r="I3323" s="31"/>
      <c r="J3323" s="155">
        <v>5</v>
      </c>
    </row>
    <row r="3324" spans="1:10" ht="26.4" x14ac:dyDescent="0.3">
      <c r="A3324" s="229"/>
      <c r="B3324" s="224"/>
      <c r="C3324" s="36" t="s">
        <v>1044</v>
      </c>
      <c r="D3324" s="47" t="s">
        <v>292</v>
      </c>
      <c r="E3324" s="37">
        <v>1</v>
      </c>
      <c r="F3324" s="31">
        <v>221.39099999999996</v>
      </c>
      <c r="G3324" s="34">
        <f t="shared" si="56"/>
        <v>221.39099999999996</v>
      </c>
      <c r="H3324" s="39">
        <f>SUM(G3324:G3327)</f>
        <v>255.53702094553816</v>
      </c>
      <c r="I3324" s="40"/>
      <c r="J3324" s="155">
        <v>5</v>
      </c>
    </row>
    <row r="3325" spans="1:10" ht="26.4" x14ac:dyDescent="0.3">
      <c r="A3325" s="229"/>
      <c r="B3325" s="224"/>
      <c r="C3325" s="36" t="s">
        <v>1690</v>
      </c>
      <c r="D3325" s="47" t="s">
        <v>122</v>
      </c>
      <c r="E3325" s="37">
        <v>4.4000000000000003E-3</v>
      </c>
      <c r="F3325" s="31">
        <v>405.61079444050006</v>
      </c>
      <c r="G3325" s="34">
        <f t="shared" si="56"/>
        <v>1.7846874955382004</v>
      </c>
      <c r="H3325" s="35"/>
      <c r="I3325" s="31"/>
      <c r="J3325" s="155">
        <v>5</v>
      </c>
    </row>
    <row r="3326" spans="1:10" x14ac:dyDescent="0.3">
      <c r="A3326" s="229"/>
      <c r="B3326" s="224"/>
      <c r="C3326" s="36" t="s">
        <v>22</v>
      </c>
      <c r="D3326" s="36" t="s">
        <v>12</v>
      </c>
      <c r="E3326" s="37">
        <v>1.0088999999999999</v>
      </c>
      <c r="F3326" s="31">
        <v>20.314999999999998</v>
      </c>
      <c r="G3326" s="34">
        <f t="shared" si="56"/>
        <v>20.495803499999997</v>
      </c>
      <c r="H3326" s="35"/>
      <c r="I3326" s="31"/>
      <c r="J3326" s="155">
        <v>5</v>
      </c>
    </row>
    <row r="3327" spans="1:10" x14ac:dyDescent="0.3">
      <c r="A3327" s="229"/>
      <c r="B3327" s="224"/>
      <c r="C3327" s="36" t="s">
        <v>23</v>
      </c>
      <c r="D3327" s="36" t="s">
        <v>12</v>
      </c>
      <c r="E3327" s="37">
        <v>0.79269999999999996</v>
      </c>
      <c r="F3327" s="31">
        <v>14.968499999999999</v>
      </c>
      <c r="G3327" s="34">
        <f t="shared" si="56"/>
        <v>11.865529949999999</v>
      </c>
      <c r="H3327" s="35"/>
      <c r="I3327" s="31"/>
      <c r="J3327" s="155">
        <v>5</v>
      </c>
    </row>
    <row r="3328" spans="1:10" ht="15" thickBot="1" x14ac:dyDescent="0.35">
      <c r="A3328" s="230"/>
      <c r="B3328" s="225"/>
      <c r="C3328" s="55"/>
      <c r="D3328" s="55"/>
      <c r="E3328" s="66"/>
      <c r="F3328" s="67" t="s">
        <v>560</v>
      </c>
      <c r="G3328" s="68" t="str">
        <f t="shared" si="56"/>
        <v/>
      </c>
      <c r="H3328" s="69"/>
      <c r="I3328" s="31"/>
      <c r="J3328" s="155">
        <v>5</v>
      </c>
    </row>
    <row r="3329" spans="1:10" ht="15" hidden="1" thickBot="1" x14ac:dyDescent="0.35">
      <c r="A3329" s="227" t="s">
        <v>1046</v>
      </c>
      <c r="B3329" s="224" t="e">
        <f>INDEX(#REF!,MATCH(Composições!A3329,#REF!,0),2)</f>
        <v>#REF!</v>
      </c>
      <c r="C3329" s="134"/>
      <c r="D3329" s="26" t="e">
        <f>TRIM(INDEX(#REF!,MATCH(Composições!A3329,#REF!,0),1))</f>
        <v>#REF!</v>
      </c>
      <c r="E3329" s="70"/>
      <c r="F3329" s="71" t="s">
        <v>560</v>
      </c>
      <c r="G3329" s="71" t="str">
        <f t="shared" ref="G3329:G3392" si="57">IF(ISNUMBER(F3329),E3329*F3329,"")</f>
        <v/>
      </c>
      <c r="H3329" s="72"/>
      <c r="I3329" s="30"/>
      <c r="J3329" s="155">
        <v>0</v>
      </c>
    </row>
    <row r="3330" spans="1:10" ht="15" hidden="1" thickBot="1" x14ac:dyDescent="0.35">
      <c r="A3330" s="229"/>
      <c r="B3330" s="224"/>
      <c r="C3330" s="32"/>
      <c r="D3330" s="32"/>
      <c r="E3330" s="33"/>
      <c r="F3330" s="31" t="s">
        <v>560</v>
      </c>
      <c r="G3330" s="34" t="str">
        <f t="shared" si="57"/>
        <v/>
      </c>
      <c r="H3330" s="35"/>
      <c r="I3330" s="31"/>
      <c r="J3330" s="155">
        <v>0</v>
      </c>
    </row>
    <row r="3331" spans="1:10" ht="15" hidden="1" thickBot="1" x14ac:dyDescent="0.35">
      <c r="A3331" s="229"/>
      <c r="B3331" s="224"/>
      <c r="C3331" s="36" t="s">
        <v>1047</v>
      </c>
      <c r="D3331" s="36" t="s">
        <v>12</v>
      </c>
      <c r="E3331" s="37">
        <v>1</v>
      </c>
      <c r="F3331" s="31">
        <v>82.28</v>
      </c>
      <c r="G3331" s="34">
        <f t="shared" si="57"/>
        <v>82.28</v>
      </c>
      <c r="H3331" s="39">
        <f>SUM(G3331:G3331)</f>
        <v>82.28</v>
      </c>
      <c r="I3331" s="40"/>
      <c r="J3331" s="155">
        <v>0</v>
      </c>
    </row>
    <row r="3332" spans="1:10" ht="15" hidden="1" thickBot="1" x14ac:dyDescent="0.35">
      <c r="A3332" s="230"/>
      <c r="B3332" s="225"/>
      <c r="C3332" s="36"/>
      <c r="D3332" s="36"/>
      <c r="E3332" s="37"/>
      <c r="F3332" s="31" t="s">
        <v>560</v>
      </c>
      <c r="G3332" s="34" t="str">
        <f t="shared" si="57"/>
        <v/>
      </c>
      <c r="H3332" s="35"/>
      <c r="I3332" s="31"/>
      <c r="J3332" s="155">
        <v>0</v>
      </c>
    </row>
    <row r="3333" spans="1:10" ht="15" hidden="1" thickBot="1" x14ac:dyDescent="0.35">
      <c r="A3333" s="226" t="s">
        <v>1048</v>
      </c>
      <c r="B3333" s="223" t="e">
        <f>INDEX(#REF!,MATCH(Composições!A3333,#REF!,0),2)</f>
        <v>#REF!</v>
      </c>
      <c r="C3333" s="41"/>
      <c r="D3333" s="26" t="e">
        <f>TRIM(INDEX(#REF!,MATCH(Composições!A3333,#REF!,0),1))</f>
        <v>#REF!</v>
      </c>
      <c r="E3333" s="27"/>
      <c r="F3333" s="42" t="s">
        <v>560</v>
      </c>
      <c r="G3333" s="28" t="str">
        <f t="shared" si="57"/>
        <v/>
      </c>
      <c r="H3333" s="29"/>
      <c r="I3333" s="30"/>
      <c r="J3333" s="155">
        <v>0</v>
      </c>
    </row>
    <row r="3334" spans="1:10" ht="15" hidden="1" thickBot="1" x14ac:dyDescent="0.35">
      <c r="A3334" s="227"/>
      <c r="B3334" s="224"/>
      <c r="C3334" s="32"/>
      <c r="D3334" s="32"/>
      <c r="E3334" s="33"/>
      <c r="F3334" s="43" t="s">
        <v>560</v>
      </c>
      <c r="G3334" s="34" t="str">
        <f t="shared" si="57"/>
        <v/>
      </c>
      <c r="H3334" s="35"/>
      <c r="I3334" s="31"/>
      <c r="J3334" s="155">
        <v>0</v>
      </c>
    </row>
    <row r="3335" spans="1:10" ht="40.200000000000003" hidden="1" thickBot="1" x14ac:dyDescent="0.35">
      <c r="A3335" s="227"/>
      <c r="B3335" s="224"/>
      <c r="C3335" s="36" t="s">
        <v>1049</v>
      </c>
      <c r="D3335" s="36" t="s">
        <v>129</v>
      </c>
      <c r="E3335" s="37">
        <v>1</v>
      </c>
      <c r="F3335" s="31">
        <v>480.25</v>
      </c>
      <c r="G3335" s="34">
        <f t="shared" si="57"/>
        <v>480.25</v>
      </c>
      <c r="H3335" s="39">
        <f>SUM(G3335:G3335)</f>
        <v>480.25</v>
      </c>
      <c r="I3335" s="40"/>
      <c r="J3335" s="155">
        <v>0</v>
      </c>
    </row>
    <row r="3336" spans="1:10" ht="15" hidden="1" thickBot="1" x14ac:dyDescent="0.35">
      <c r="A3336" s="228"/>
      <c r="B3336" s="225"/>
      <c r="C3336" s="36"/>
      <c r="D3336" s="36"/>
      <c r="E3336" s="37"/>
      <c r="F3336" s="31" t="s">
        <v>560</v>
      </c>
      <c r="G3336" s="34" t="str">
        <f t="shared" si="57"/>
        <v/>
      </c>
      <c r="H3336" s="35"/>
      <c r="I3336" s="31"/>
      <c r="J3336" s="155">
        <v>0</v>
      </c>
    </row>
    <row r="3337" spans="1:10" ht="15" hidden="1" thickBot="1" x14ac:dyDescent="0.35">
      <c r="A3337" s="226" t="s">
        <v>1050</v>
      </c>
      <c r="B3337" s="223" t="e">
        <f>INDEX(#REF!,MATCH(Composições!A3337,#REF!,0),2)</f>
        <v>#REF!</v>
      </c>
      <c r="C3337" s="41"/>
      <c r="D3337" s="26" t="e">
        <f>TRIM(INDEX(#REF!,MATCH(Composições!A3337,#REF!,0),1))</f>
        <v>#REF!</v>
      </c>
      <c r="E3337" s="27"/>
      <c r="F3337" s="42" t="s">
        <v>560</v>
      </c>
      <c r="G3337" s="28" t="str">
        <f t="shared" si="57"/>
        <v/>
      </c>
      <c r="H3337" s="29"/>
      <c r="I3337" s="30"/>
      <c r="J3337" s="155">
        <v>0</v>
      </c>
    </row>
    <row r="3338" spans="1:10" ht="15" hidden="1" thickBot="1" x14ac:dyDescent="0.35">
      <c r="A3338" s="229"/>
      <c r="B3338" s="224"/>
      <c r="C3338" s="32"/>
      <c r="D3338" s="32"/>
      <c r="E3338" s="33"/>
      <c r="F3338" s="43" t="s">
        <v>560</v>
      </c>
      <c r="G3338" s="34" t="str">
        <f t="shared" si="57"/>
        <v/>
      </c>
      <c r="H3338" s="35"/>
      <c r="I3338" s="31"/>
      <c r="J3338" s="155">
        <v>0</v>
      </c>
    </row>
    <row r="3339" spans="1:10" ht="15" hidden="1" thickBot="1" x14ac:dyDescent="0.35">
      <c r="A3339" s="229"/>
      <c r="B3339" s="224"/>
      <c r="C3339" s="36" t="s">
        <v>23</v>
      </c>
      <c r="D3339" s="36" t="s">
        <v>12</v>
      </c>
      <c r="E3339" s="37">
        <v>8.8999999999999996E-2</v>
      </c>
      <c r="F3339" s="31">
        <v>14.968499999999999</v>
      </c>
      <c r="G3339" s="34">
        <f t="shared" si="57"/>
        <v>1.3321964999999998</v>
      </c>
      <c r="H3339" s="39">
        <f>SUM(G3339:G3340)</f>
        <v>1.3473689999999998</v>
      </c>
      <c r="I3339" s="40"/>
      <c r="J3339" s="155">
        <v>0</v>
      </c>
    </row>
    <row r="3340" spans="1:10" ht="40.200000000000003" hidden="1" thickBot="1" x14ac:dyDescent="0.35">
      <c r="A3340" s="229"/>
      <c r="B3340" s="224"/>
      <c r="C3340" s="36" t="s">
        <v>1051</v>
      </c>
      <c r="D3340" s="36" t="s">
        <v>33</v>
      </c>
      <c r="E3340" s="37">
        <v>1.4999999999999999E-2</v>
      </c>
      <c r="F3340" s="31">
        <v>1.0114999999999998</v>
      </c>
      <c r="G3340" s="34">
        <f t="shared" si="57"/>
        <v>1.5172499999999997E-2</v>
      </c>
      <c r="H3340" s="35"/>
      <c r="I3340" s="31"/>
      <c r="J3340" s="155">
        <v>0</v>
      </c>
    </row>
    <row r="3341" spans="1:10" ht="15" hidden="1" thickBot="1" x14ac:dyDescent="0.35">
      <c r="A3341" s="230"/>
      <c r="B3341" s="225"/>
      <c r="C3341" s="36"/>
      <c r="D3341" s="36"/>
      <c r="E3341" s="37"/>
      <c r="F3341" s="31" t="s">
        <v>560</v>
      </c>
      <c r="G3341" s="34" t="str">
        <f t="shared" si="57"/>
        <v/>
      </c>
      <c r="H3341" s="35"/>
      <c r="I3341" s="31"/>
      <c r="J3341" s="155">
        <v>0</v>
      </c>
    </row>
    <row r="3342" spans="1:10" ht="15" hidden="1" thickBot="1" x14ac:dyDescent="0.35">
      <c r="A3342" s="226" t="s">
        <v>1052</v>
      </c>
      <c r="B3342" s="223" t="e">
        <f>INDEX(#REF!,MATCH(Composições!A3342,#REF!,0),2)</f>
        <v>#REF!</v>
      </c>
      <c r="C3342" s="41"/>
      <c r="D3342" s="26" t="e">
        <f>TRIM(INDEX(#REF!,MATCH(Composições!A3342,#REF!,0),1))</f>
        <v>#REF!</v>
      </c>
      <c r="E3342" s="27"/>
      <c r="F3342" s="49" t="s">
        <v>560</v>
      </c>
      <c r="G3342" s="28" t="str">
        <f t="shared" si="57"/>
        <v/>
      </c>
      <c r="H3342" s="29"/>
      <c r="I3342" s="30"/>
      <c r="J3342" s="155">
        <v>0</v>
      </c>
    </row>
    <row r="3343" spans="1:10" ht="15" hidden="1" thickBot="1" x14ac:dyDescent="0.35">
      <c r="A3343" s="229"/>
      <c r="B3343" s="224"/>
      <c r="C3343" s="32"/>
      <c r="D3343" s="32"/>
      <c r="E3343" s="33"/>
      <c r="F3343" s="54" t="s">
        <v>560</v>
      </c>
      <c r="G3343" s="54" t="str">
        <f t="shared" si="57"/>
        <v/>
      </c>
      <c r="H3343" s="73"/>
      <c r="I3343" s="74"/>
      <c r="J3343" s="155">
        <v>0</v>
      </c>
    </row>
    <row r="3344" spans="1:10" ht="15" hidden="1" thickBot="1" x14ac:dyDescent="0.35">
      <c r="A3344" s="229"/>
      <c r="B3344" s="224"/>
      <c r="C3344" s="36" t="s">
        <v>54</v>
      </c>
      <c r="D3344" s="36" t="s">
        <v>12</v>
      </c>
      <c r="E3344" s="37">
        <v>0.25</v>
      </c>
      <c r="F3344" s="54">
        <v>16.923500000000001</v>
      </c>
      <c r="G3344" s="54">
        <f t="shared" si="57"/>
        <v>4.2308750000000002</v>
      </c>
      <c r="H3344" s="39">
        <f>SUM(G3344:G3345)</f>
        <v>4.2308750000000002</v>
      </c>
      <c r="I3344" s="40"/>
      <c r="J3344" s="155">
        <v>0</v>
      </c>
    </row>
    <row r="3345" spans="1:10" ht="15" hidden="1" thickBot="1" x14ac:dyDescent="0.35">
      <c r="A3345" s="230"/>
      <c r="B3345" s="225"/>
      <c r="C3345" s="36"/>
      <c r="D3345" s="36"/>
      <c r="E3345" s="37"/>
      <c r="F3345" s="54" t="s">
        <v>560</v>
      </c>
      <c r="G3345" s="54" t="str">
        <f t="shared" si="57"/>
        <v/>
      </c>
      <c r="H3345" s="73"/>
      <c r="I3345" s="74"/>
      <c r="J3345" s="155">
        <v>0</v>
      </c>
    </row>
    <row r="3346" spans="1:10" ht="15" hidden="1" thickBot="1" x14ac:dyDescent="0.35">
      <c r="A3346" s="226" t="s">
        <v>1053</v>
      </c>
      <c r="B3346" s="223" t="e">
        <f>INDEX(#REF!,MATCH(Composições!A3346,#REF!,0),2)</f>
        <v>#REF!</v>
      </c>
      <c r="C3346" s="41"/>
      <c r="D3346" s="26" t="e">
        <f>TRIM(INDEX(#REF!,MATCH(Composições!A3346,#REF!,0),1))</f>
        <v>#REF!</v>
      </c>
      <c r="E3346" s="27"/>
      <c r="F3346" s="49" t="s">
        <v>560</v>
      </c>
      <c r="G3346" s="28" t="str">
        <f t="shared" si="57"/>
        <v/>
      </c>
      <c r="H3346" s="29"/>
      <c r="I3346" s="30"/>
      <c r="J3346" s="155">
        <v>0</v>
      </c>
    </row>
    <row r="3347" spans="1:10" ht="15" hidden="1" thickBot="1" x14ac:dyDescent="0.35">
      <c r="A3347" s="229"/>
      <c r="B3347" s="224"/>
      <c r="C3347" s="32"/>
      <c r="D3347" s="32"/>
      <c r="E3347" s="33"/>
      <c r="F3347" s="54" t="s">
        <v>560</v>
      </c>
      <c r="G3347" s="54" t="str">
        <f t="shared" si="57"/>
        <v/>
      </c>
      <c r="H3347" s="73"/>
      <c r="I3347" s="74"/>
      <c r="J3347" s="155">
        <v>0</v>
      </c>
    </row>
    <row r="3348" spans="1:10" ht="15" hidden="1" thickBot="1" x14ac:dyDescent="0.35">
      <c r="A3348" s="229"/>
      <c r="B3348" s="224"/>
      <c r="C3348" s="36" t="s">
        <v>23</v>
      </c>
      <c r="D3348" s="36" t="s">
        <v>744</v>
      </c>
      <c r="E3348" s="37">
        <v>1.25</v>
      </c>
      <c r="F3348" s="54">
        <v>14.968499999999999</v>
      </c>
      <c r="G3348" s="54">
        <f t="shared" si="57"/>
        <v>18.710625</v>
      </c>
      <c r="H3348" s="39">
        <f>SUM(G3348:G3348)</f>
        <v>18.710625</v>
      </c>
      <c r="I3348" s="40"/>
      <c r="J3348" s="155">
        <v>0</v>
      </c>
    </row>
    <row r="3349" spans="1:10" ht="15" hidden="1" thickBot="1" x14ac:dyDescent="0.35">
      <c r="A3349" s="230"/>
      <c r="B3349" s="225"/>
      <c r="C3349" s="36"/>
      <c r="D3349" s="36"/>
      <c r="E3349" s="37"/>
      <c r="F3349" s="54" t="s">
        <v>560</v>
      </c>
      <c r="G3349" s="54" t="str">
        <f t="shared" si="57"/>
        <v/>
      </c>
      <c r="H3349" s="73"/>
      <c r="I3349" s="74"/>
      <c r="J3349" s="155">
        <v>0</v>
      </c>
    </row>
    <row r="3350" spans="1:10" ht="15" thickBot="1" x14ac:dyDescent="0.35">
      <c r="A3350" s="226" t="s">
        <v>1054</v>
      </c>
      <c r="B3350" s="223" t="str">
        <f>INDEX(Orçamentária!A:B,MATCH(Composições!A3350,Orçamentária!A:A,0),2)</f>
        <v>Impermeabilização com emulsão asfáltica</v>
      </c>
      <c r="C3350" s="41"/>
      <c r="D3350" s="26" t="str">
        <f>TRIM(INDEX(Orçamentária!C:C,MATCH(Composições!A3350,Orçamentária!A:A,0),1))</f>
        <v>m2</v>
      </c>
      <c r="E3350" s="27"/>
      <c r="F3350" s="49" t="s">
        <v>560</v>
      </c>
      <c r="G3350" s="28" t="str">
        <f t="shared" si="57"/>
        <v/>
      </c>
      <c r="H3350" s="29"/>
      <c r="I3350" s="30"/>
      <c r="J3350" s="155">
        <v>302.39999999999998</v>
      </c>
    </row>
    <row r="3351" spans="1:10" x14ac:dyDescent="0.3">
      <c r="A3351" s="229"/>
      <c r="B3351" s="224"/>
      <c r="C3351" s="32"/>
      <c r="D3351" s="32"/>
      <c r="E3351" s="33"/>
      <c r="F3351" s="54" t="s">
        <v>560</v>
      </c>
      <c r="G3351" s="54" t="str">
        <f t="shared" si="57"/>
        <v/>
      </c>
      <c r="H3351" s="73"/>
      <c r="I3351" s="74"/>
      <c r="J3351" s="155">
        <v>302.39999999999998</v>
      </c>
    </row>
    <row r="3352" spans="1:10" ht="39.6" x14ac:dyDescent="0.3">
      <c r="A3352" s="229"/>
      <c r="B3352" s="224"/>
      <c r="C3352" s="36" t="s">
        <v>1055</v>
      </c>
      <c r="D3352" s="36" t="s">
        <v>939</v>
      </c>
      <c r="E3352" s="37">
        <v>1.5</v>
      </c>
      <c r="F3352" s="54">
        <v>12.273999999999999</v>
      </c>
      <c r="G3352" s="54">
        <f t="shared" si="57"/>
        <v>18.410999999999998</v>
      </c>
      <c r="H3352" s="39">
        <f>SUM(G3352:G3355)</f>
        <v>34.343391499999996</v>
      </c>
      <c r="I3352" s="40"/>
      <c r="J3352" s="155">
        <v>302.39999999999998</v>
      </c>
    </row>
    <row r="3353" spans="1:10" x14ac:dyDescent="0.3">
      <c r="A3353" s="229"/>
      <c r="B3353" s="224"/>
      <c r="C3353" s="36" t="s">
        <v>1863</v>
      </c>
      <c r="D3353" s="36" t="s">
        <v>1035</v>
      </c>
      <c r="E3353" s="37">
        <v>1.351</v>
      </c>
      <c r="F3353" s="54">
        <v>4.3264999999999993</v>
      </c>
      <c r="G3353" s="54">
        <f t="shared" si="57"/>
        <v>5.8451014999999993</v>
      </c>
      <c r="H3353" s="73"/>
      <c r="I3353" s="40"/>
      <c r="J3353" s="155">
        <v>302.39999999999998</v>
      </c>
    </row>
    <row r="3354" spans="1:10" x14ac:dyDescent="0.3">
      <c r="A3354" s="229"/>
      <c r="B3354" s="224"/>
      <c r="C3354" s="36" t="s">
        <v>1056</v>
      </c>
      <c r="D3354" s="36" t="s">
        <v>744</v>
      </c>
      <c r="E3354" s="37">
        <v>8.5000000000000006E-2</v>
      </c>
      <c r="F3354" s="54">
        <v>17.815999999999999</v>
      </c>
      <c r="G3354" s="54">
        <f t="shared" si="57"/>
        <v>1.5143599999999999</v>
      </c>
      <c r="H3354" s="73"/>
      <c r="I3354" s="74"/>
      <c r="J3354" s="155">
        <v>302.39999999999998</v>
      </c>
    </row>
    <row r="3355" spans="1:10" x14ac:dyDescent="0.3">
      <c r="A3355" s="229"/>
      <c r="B3355" s="224"/>
      <c r="C3355" s="36" t="s">
        <v>1057</v>
      </c>
      <c r="D3355" s="36" t="s">
        <v>744</v>
      </c>
      <c r="E3355" s="37">
        <v>0.42199999999999999</v>
      </c>
      <c r="F3355" s="54">
        <v>20.314999999999998</v>
      </c>
      <c r="G3355" s="54">
        <f t="shared" si="57"/>
        <v>8.5729299999999995</v>
      </c>
      <c r="H3355" s="73"/>
      <c r="I3355" s="74"/>
      <c r="J3355" s="155">
        <v>302.39999999999998</v>
      </c>
    </row>
    <row r="3356" spans="1:10" ht="15" thickBot="1" x14ac:dyDescent="0.35">
      <c r="A3356" s="230"/>
      <c r="B3356" s="225"/>
      <c r="C3356" s="36"/>
      <c r="D3356" s="36"/>
      <c r="E3356" s="37"/>
      <c r="F3356" s="54" t="s">
        <v>560</v>
      </c>
      <c r="G3356" s="54" t="str">
        <f t="shared" si="57"/>
        <v/>
      </c>
      <c r="H3356" s="73"/>
      <c r="I3356" s="74"/>
      <c r="J3356" s="155">
        <v>302.39999999999998</v>
      </c>
    </row>
    <row r="3357" spans="1:10" ht="15" hidden="1" thickBot="1" x14ac:dyDescent="0.35">
      <c r="A3357" s="226" t="s">
        <v>1058</v>
      </c>
      <c r="B3357" s="223" t="e">
        <f>INDEX(#REF!,MATCH(Composições!A3357,#REF!,0),2)</f>
        <v>#REF!</v>
      </c>
      <c r="C3357" s="41"/>
      <c r="D3357" s="26" t="e">
        <f>TRIM(INDEX(#REF!,MATCH(Composições!A3357,#REF!,0),1))</f>
        <v>#REF!</v>
      </c>
      <c r="E3357" s="27"/>
      <c r="F3357" s="49" t="s">
        <v>560</v>
      </c>
      <c r="G3357" s="28" t="str">
        <f t="shared" si="57"/>
        <v/>
      </c>
      <c r="H3357" s="29"/>
      <c r="I3357" s="30"/>
      <c r="J3357" s="155">
        <v>0</v>
      </c>
    </row>
    <row r="3358" spans="1:10" ht="15" hidden="1" thickBot="1" x14ac:dyDescent="0.35">
      <c r="A3358" s="229"/>
      <c r="B3358" s="224"/>
      <c r="C3358" s="32"/>
      <c r="D3358" s="32"/>
      <c r="E3358" s="33"/>
      <c r="F3358" s="54" t="s">
        <v>560</v>
      </c>
      <c r="G3358" s="54" t="str">
        <f t="shared" si="57"/>
        <v/>
      </c>
      <c r="H3358" s="73"/>
      <c r="I3358" s="74"/>
      <c r="J3358" s="155">
        <v>0</v>
      </c>
    </row>
    <row r="3359" spans="1:10" ht="15" hidden="1" thickBot="1" x14ac:dyDescent="0.35">
      <c r="A3359" s="229"/>
      <c r="B3359" s="224"/>
      <c r="C3359" s="36" t="s">
        <v>1059</v>
      </c>
      <c r="D3359" s="36" t="s">
        <v>1035</v>
      </c>
      <c r="E3359" s="37">
        <v>1.04</v>
      </c>
      <c r="F3359" s="54">
        <v>1.2749999999999999</v>
      </c>
      <c r="G3359" s="54">
        <f t="shared" si="57"/>
        <v>1.3259999999999998</v>
      </c>
      <c r="H3359" s="39">
        <f>SUM(G3359:G3362)</f>
        <v>37.180580431562504</v>
      </c>
      <c r="I3359" s="40"/>
      <c r="J3359" s="155">
        <v>0</v>
      </c>
    </row>
    <row r="3360" spans="1:10" ht="27" hidden="1" thickBot="1" x14ac:dyDescent="0.35">
      <c r="A3360" s="229"/>
      <c r="B3360" s="224"/>
      <c r="C3360" s="36" t="s">
        <v>1060</v>
      </c>
      <c r="D3360" s="36" t="s">
        <v>122</v>
      </c>
      <c r="E3360" s="37">
        <v>3.5000000000000003E-2</v>
      </c>
      <c r="F3360" s="54">
        <v>585.03385518749997</v>
      </c>
      <c r="G3360" s="54">
        <f t="shared" si="57"/>
        <v>20.4761849315625</v>
      </c>
      <c r="H3360" s="73"/>
      <c r="I3360" s="74"/>
      <c r="J3360" s="155">
        <v>0</v>
      </c>
    </row>
    <row r="3361" spans="1:10" ht="15" hidden="1" thickBot="1" x14ac:dyDescent="0.35">
      <c r="A3361" s="229"/>
      <c r="B3361" s="224"/>
      <c r="C3361" s="36" t="s">
        <v>22</v>
      </c>
      <c r="D3361" s="36" t="s">
        <v>744</v>
      </c>
      <c r="E3361" s="37">
        <v>0.65900000000000003</v>
      </c>
      <c r="F3361" s="54">
        <v>20.314999999999998</v>
      </c>
      <c r="G3361" s="54">
        <f t="shared" si="57"/>
        <v>13.387585</v>
      </c>
      <c r="H3361" s="73"/>
      <c r="I3361" s="74"/>
      <c r="J3361" s="155">
        <v>0</v>
      </c>
    </row>
    <row r="3362" spans="1:10" ht="15" hidden="1" thickBot="1" x14ac:dyDescent="0.35">
      <c r="A3362" s="229"/>
      <c r="B3362" s="224"/>
      <c r="C3362" s="36" t="s">
        <v>23</v>
      </c>
      <c r="D3362" s="36" t="s">
        <v>744</v>
      </c>
      <c r="E3362" s="37">
        <v>0.13300000000000001</v>
      </c>
      <c r="F3362" s="54">
        <v>14.968499999999999</v>
      </c>
      <c r="G3362" s="54">
        <f t="shared" si="57"/>
        <v>1.9908105</v>
      </c>
      <c r="H3362" s="73"/>
      <c r="I3362" s="74"/>
      <c r="J3362" s="155">
        <v>0</v>
      </c>
    </row>
    <row r="3363" spans="1:10" ht="15" hidden="1" thickBot="1" x14ac:dyDescent="0.35">
      <c r="A3363" s="230"/>
      <c r="B3363" s="225"/>
      <c r="C3363" s="36"/>
      <c r="D3363" s="36"/>
      <c r="E3363" s="37"/>
      <c r="F3363" s="54" t="s">
        <v>560</v>
      </c>
      <c r="G3363" s="54" t="str">
        <f t="shared" si="57"/>
        <v/>
      </c>
      <c r="H3363" s="73"/>
      <c r="I3363" s="74"/>
      <c r="J3363" s="155">
        <v>0</v>
      </c>
    </row>
    <row r="3364" spans="1:10" ht="15" hidden="1" thickBot="1" x14ac:dyDescent="0.35">
      <c r="A3364" s="226" t="s">
        <v>1061</v>
      </c>
      <c r="B3364" s="223" t="e">
        <f>INDEX(#REF!,MATCH(Composições!A3364,#REF!,0),2)</f>
        <v>#REF!</v>
      </c>
      <c r="C3364" s="41"/>
      <c r="D3364" s="26" t="e">
        <f>TRIM(INDEX(#REF!,MATCH(Composições!A3364,#REF!,0),1))</f>
        <v>#REF!</v>
      </c>
      <c r="E3364" s="27"/>
      <c r="F3364" s="49" t="s">
        <v>560</v>
      </c>
      <c r="G3364" s="28" t="str">
        <f t="shared" si="57"/>
        <v/>
      </c>
      <c r="H3364" s="29"/>
      <c r="I3364" s="30"/>
      <c r="J3364" s="155">
        <v>0</v>
      </c>
    </row>
    <row r="3365" spans="1:10" ht="15" hidden="1" thickBot="1" x14ac:dyDescent="0.35">
      <c r="A3365" s="229"/>
      <c r="B3365" s="224"/>
      <c r="C3365" s="32"/>
      <c r="D3365" s="32"/>
      <c r="E3365" s="33"/>
      <c r="F3365" s="54" t="s">
        <v>560</v>
      </c>
      <c r="G3365" s="54" t="str">
        <f t="shared" si="57"/>
        <v/>
      </c>
      <c r="H3365" s="73"/>
      <c r="I3365" s="74"/>
      <c r="J3365" s="155">
        <v>0</v>
      </c>
    </row>
    <row r="3366" spans="1:10" ht="27" hidden="1" thickBot="1" x14ac:dyDescent="0.35">
      <c r="A3366" s="229"/>
      <c r="B3366" s="224"/>
      <c r="C3366" s="36" t="s">
        <v>1062</v>
      </c>
      <c r="D3366" s="36" t="s">
        <v>1035</v>
      </c>
      <c r="E3366" s="37">
        <v>1.05</v>
      </c>
      <c r="F3366" s="54">
        <v>11.780999999999999</v>
      </c>
      <c r="G3366" s="54">
        <f t="shared" si="57"/>
        <v>12.370049999999999</v>
      </c>
      <c r="H3366" s="39">
        <f>SUM(G3366:G3369)</f>
        <v>49.329120431562501</v>
      </c>
      <c r="I3366" s="40"/>
      <c r="J3366" s="155">
        <v>0</v>
      </c>
    </row>
    <row r="3367" spans="1:10" ht="27" hidden="1" thickBot="1" x14ac:dyDescent="0.35">
      <c r="A3367" s="229"/>
      <c r="B3367" s="224"/>
      <c r="C3367" s="36" t="s">
        <v>1060</v>
      </c>
      <c r="D3367" s="36" t="s">
        <v>122</v>
      </c>
      <c r="E3367" s="37">
        <v>3.5000000000000003E-2</v>
      </c>
      <c r="F3367" s="54">
        <v>585.03385518749997</v>
      </c>
      <c r="G3367" s="54">
        <f t="shared" si="57"/>
        <v>20.4761849315625</v>
      </c>
      <c r="H3367" s="73"/>
      <c r="I3367" s="74"/>
      <c r="J3367" s="155">
        <v>0</v>
      </c>
    </row>
    <row r="3368" spans="1:10" ht="15" hidden="1" thickBot="1" x14ac:dyDescent="0.35">
      <c r="A3368" s="229"/>
      <c r="B3368" s="224"/>
      <c r="C3368" s="36" t="s">
        <v>22</v>
      </c>
      <c r="D3368" s="36" t="s">
        <v>744</v>
      </c>
      <c r="E3368" s="37">
        <v>0.70599999999999996</v>
      </c>
      <c r="F3368" s="54">
        <v>20.314999999999998</v>
      </c>
      <c r="G3368" s="54">
        <f t="shared" si="57"/>
        <v>14.342389999999998</v>
      </c>
      <c r="H3368" s="73"/>
      <c r="I3368" s="74"/>
      <c r="J3368" s="155">
        <v>0</v>
      </c>
    </row>
    <row r="3369" spans="1:10" ht="15" hidden="1" thickBot="1" x14ac:dyDescent="0.35">
      <c r="A3369" s="229"/>
      <c r="B3369" s="224"/>
      <c r="C3369" s="36" t="s">
        <v>23</v>
      </c>
      <c r="D3369" s="36" t="s">
        <v>744</v>
      </c>
      <c r="E3369" s="37">
        <v>0.14299999999999999</v>
      </c>
      <c r="F3369" s="54">
        <v>14.968499999999999</v>
      </c>
      <c r="G3369" s="54">
        <f t="shared" si="57"/>
        <v>2.1404954999999997</v>
      </c>
      <c r="H3369" s="73"/>
      <c r="I3369" s="74"/>
      <c r="J3369" s="155">
        <v>0</v>
      </c>
    </row>
    <row r="3370" spans="1:10" ht="15" hidden="1" thickBot="1" x14ac:dyDescent="0.35">
      <c r="A3370" s="230"/>
      <c r="B3370" s="225"/>
      <c r="C3370" s="36"/>
      <c r="D3370" s="36"/>
      <c r="E3370" s="37"/>
      <c r="F3370" s="54" t="s">
        <v>560</v>
      </c>
      <c r="G3370" s="54" t="str">
        <f t="shared" si="57"/>
        <v/>
      </c>
      <c r="H3370" s="73"/>
      <c r="I3370" s="74"/>
      <c r="J3370" s="155">
        <v>0</v>
      </c>
    </row>
    <row r="3371" spans="1:10" ht="15" hidden="1" thickBot="1" x14ac:dyDescent="0.35">
      <c r="A3371" s="226" t="s">
        <v>1063</v>
      </c>
      <c r="B3371" s="223" t="e">
        <f>INDEX(#REF!,MATCH(Composições!A3371,#REF!,0),2)</f>
        <v>#REF!</v>
      </c>
      <c r="C3371" s="41"/>
      <c r="D3371" s="26" t="e">
        <f>TRIM(INDEX(#REF!,MATCH(Composições!A3371,#REF!,0),1))</f>
        <v>#REF!</v>
      </c>
      <c r="E3371" s="27"/>
      <c r="F3371" s="49" t="s">
        <v>560</v>
      </c>
      <c r="G3371" s="28" t="str">
        <f t="shared" si="57"/>
        <v/>
      </c>
      <c r="H3371" s="29"/>
      <c r="I3371" s="30"/>
      <c r="J3371" s="155">
        <v>0</v>
      </c>
    </row>
    <row r="3372" spans="1:10" ht="15" hidden="1" thickBot="1" x14ac:dyDescent="0.35">
      <c r="A3372" s="229"/>
      <c r="B3372" s="224"/>
      <c r="C3372" s="32"/>
      <c r="D3372" s="32"/>
      <c r="E3372" s="33"/>
      <c r="F3372" s="54" t="s">
        <v>560</v>
      </c>
      <c r="G3372" s="54" t="str">
        <f t="shared" si="57"/>
        <v/>
      </c>
      <c r="H3372" s="73"/>
      <c r="I3372" s="74"/>
      <c r="J3372" s="155">
        <v>0</v>
      </c>
    </row>
    <row r="3373" spans="1:10" ht="15" hidden="1" thickBot="1" x14ac:dyDescent="0.35">
      <c r="A3373" s="229"/>
      <c r="B3373" s="224"/>
      <c r="C3373" s="36" t="s">
        <v>54</v>
      </c>
      <c r="D3373" s="36" t="s">
        <v>12</v>
      </c>
      <c r="E3373" s="37">
        <v>0.4</v>
      </c>
      <c r="F3373" s="54">
        <v>16.923500000000001</v>
      </c>
      <c r="G3373" s="54">
        <f t="shared" si="57"/>
        <v>6.769400000000001</v>
      </c>
      <c r="H3373" s="39">
        <f>SUM(G3373:G3374)</f>
        <v>12.756800000000002</v>
      </c>
      <c r="I3373" s="40"/>
      <c r="J3373" s="155">
        <v>0</v>
      </c>
    </row>
    <row r="3374" spans="1:10" ht="15" hidden="1" thickBot="1" x14ac:dyDescent="0.35">
      <c r="A3374" s="229"/>
      <c r="B3374" s="224"/>
      <c r="C3374" s="36" t="s">
        <v>23</v>
      </c>
      <c r="D3374" s="36" t="s">
        <v>12</v>
      </c>
      <c r="E3374" s="37">
        <v>0.4</v>
      </c>
      <c r="F3374" s="54">
        <v>14.968499999999999</v>
      </c>
      <c r="G3374" s="54">
        <f t="shared" si="57"/>
        <v>5.9874000000000001</v>
      </c>
      <c r="H3374" s="73"/>
      <c r="I3374" s="74"/>
      <c r="J3374" s="155">
        <v>0</v>
      </c>
    </row>
    <row r="3375" spans="1:10" ht="15" hidden="1" thickBot="1" x14ac:dyDescent="0.35">
      <c r="A3375" s="230"/>
      <c r="B3375" s="225"/>
      <c r="C3375" s="36"/>
      <c r="D3375" s="36"/>
      <c r="E3375" s="37"/>
      <c r="F3375" s="54" t="s">
        <v>560</v>
      </c>
      <c r="G3375" s="54" t="str">
        <f t="shared" si="57"/>
        <v/>
      </c>
      <c r="H3375" s="73"/>
      <c r="I3375" s="74"/>
      <c r="J3375" s="155">
        <v>0</v>
      </c>
    </row>
    <row r="3376" spans="1:10" ht="15" hidden="1" thickBot="1" x14ac:dyDescent="0.35">
      <c r="A3376" s="226" t="s">
        <v>1064</v>
      </c>
      <c r="B3376" s="223" t="e">
        <f>INDEX(#REF!,MATCH(Composições!A3376,#REF!,0),2)</f>
        <v>#REF!</v>
      </c>
      <c r="C3376" s="41"/>
      <c r="D3376" s="26" t="e">
        <f>TRIM(INDEX(#REF!,MATCH(Composições!A3376,#REF!,0),1))</f>
        <v>#REF!</v>
      </c>
      <c r="E3376" s="27"/>
      <c r="F3376" s="49" t="s">
        <v>560</v>
      </c>
      <c r="G3376" s="28" t="str">
        <f t="shared" si="57"/>
        <v/>
      </c>
      <c r="H3376" s="29"/>
      <c r="I3376" s="30"/>
      <c r="J3376" s="155">
        <v>0</v>
      </c>
    </row>
    <row r="3377" spans="1:10" ht="15" hidden="1" thickBot="1" x14ac:dyDescent="0.35">
      <c r="A3377" s="229"/>
      <c r="B3377" s="224"/>
      <c r="C3377" s="32"/>
      <c r="D3377" s="32"/>
      <c r="E3377" s="33"/>
      <c r="F3377" s="54" t="s">
        <v>560</v>
      </c>
      <c r="G3377" s="54" t="str">
        <f t="shared" si="57"/>
        <v/>
      </c>
      <c r="H3377" s="73"/>
      <c r="I3377" s="74"/>
      <c r="J3377" s="155">
        <v>0</v>
      </c>
    </row>
    <row r="3378" spans="1:10" ht="15" hidden="1" thickBot="1" x14ac:dyDescent="0.35">
      <c r="A3378" s="229"/>
      <c r="B3378" s="224"/>
      <c r="C3378" s="36" t="s">
        <v>54</v>
      </c>
      <c r="D3378" s="36" t="s">
        <v>12</v>
      </c>
      <c r="E3378" s="37">
        <v>1.2</v>
      </c>
      <c r="F3378" s="54">
        <v>16.923500000000001</v>
      </c>
      <c r="G3378" s="54">
        <f t="shared" si="57"/>
        <v>20.308199999999999</v>
      </c>
      <c r="H3378" s="39">
        <f>SUM(G3378:G3379)</f>
        <v>38.270399999999995</v>
      </c>
      <c r="I3378" s="40"/>
      <c r="J3378" s="155">
        <v>0</v>
      </c>
    </row>
    <row r="3379" spans="1:10" ht="15" hidden="1" thickBot="1" x14ac:dyDescent="0.35">
      <c r="A3379" s="229"/>
      <c r="B3379" s="224"/>
      <c r="C3379" s="36" t="s">
        <v>23</v>
      </c>
      <c r="D3379" s="36" t="s">
        <v>12</v>
      </c>
      <c r="E3379" s="37">
        <v>1.2</v>
      </c>
      <c r="F3379" s="54">
        <v>14.968499999999999</v>
      </c>
      <c r="G3379" s="54">
        <f t="shared" si="57"/>
        <v>17.962199999999999</v>
      </c>
      <c r="H3379" s="73"/>
      <c r="I3379" s="74"/>
      <c r="J3379" s="155">
        <v>0</v>
      </c>
    </row>
    <row r="3380" spans="1:10" ht="15" hidden="1" thickBot="1" x14ac:dyDescent="0.35">
      <c r="A3380" s="230"/>
      <c r="B3380" s="225"/>
      <c r="C3380" s="36"/>
      <c r="D3380" s="36"/>
      <c r="E3380" s="37"/>
      <c r="F3380" s="54" t="s">
        <v>560</v>
      </c>
      <c r="G3380" s="54" t="str">
        <f t="shared" si="57"/>
        <v/>
      </c>
      <c r="H3380" s="73"/>
      <c r="I3380" s="74"/>
      <c r="J3380" s="155">
        <v>0</v>
      </c>
    </row>
    <row r="3381" spans="1:10" ht="15" hidden="1" thickBot="1" x14ac:dyDescent="0.35">
      <c r="A3381" s="226" t="s">
        <v>1065</v>
      </c>
      <c r="B3381" s="223" t="e">
        <f>INDEX(#REF!,MATCH(Composições!A3381,#REF!,0),2)</f>
        <v>#REF!</v>
      </c>
      <c r="C3381" s="41"/>
      <c r="D3381" s="26" t="e">
        <f>TRIM(INDEX(#REF!,MATCH(Composições!A3381,#REF!,0),1))</f>
        <v>#REF!</v>
      </c>
      <c r="E3381" s="27"/>
      <c r="F3381" s="49" t="s">
        <v>560</v>
      </c>
      <c r="G3381" s="28" t="str">
        <f t="shared" si="57"/>
        <v/>
      </c>
      <c r="H3381" s="29"/>
      <c r="I3381" s="30"/>
      <c r="J3381" s="155">
        <v>0</v>
      </c>
    </row>
    <row r="3382" spans="1:10" ht="15" hidden="1" thickBot="1" x14ac:dyDescent="0.35">
      <c r="A3382" s="229"/>
      <c r="B3382" s="224"/>
      <c r="C3382" s="32"/>
      <c r="D3382" s="32"/>
      <c r="E3382" s="33"/>
      <c r="F3382" s="54" t="s">
        <v>560</v>
      </c>
      <c r="G3382" s="54" t="str">
        <f t="shared" si="57"/>
        <v/>
      </c>
      <c r="H3382" s="73"/>
      <c r="I3382" s="74"/>
      <c r="J3382" s="155">
        <v>0</v>
      </c>
    </row>
    <row r="3383" spans="1:10" ht="15" hidden="1" thickBot="1" x14ac:dyDescent="0.35">
      <c r="A3383" s="229"/>
      <c r="B3383" s="224"/>
      <c r="C3383" s="36" t="s">
        <v>1066</v>
      </c>
      <c r="D3383" s="36" t="s">
        <v>95</v>
      </c>
      <c r="E3383" s="37">
        <v>1.05</v>
      </c>
      <c r="F3383" s="54">
        <v>3.3915000000000002</v>
      </c>
      <c r="G3383" s="54">
        <f t="shared" si="57"/>
        <v>3.5610750000000002</v>
      </c>
      <c r="H3383" s="39">
        <f>SUM(G3383:G3384)</f>
        <v>6.5547750000000002</v>
      </c>
      <c r="I3383" s="40"/>
      <c r="J3383" s="155">
        <v>0</v>
      </c>
    </row>
    <row r="3384" spans="1:10" ht="15" hidden="1" thickBot="1" x14ac:dyDescent="0.35">
      <c r="A3384" s="229"/>
      <c r="B3384" s="224"/>
      <c r="C3384" s="36" t="s">
        <v>23</v>
      </c>
      <c r="D3384" s="36" t="s">
        <v>12</v>
      </c>
      <c r="E3384" s="37">
        <v>0.2</v>
      </c>
      <c r="F3384" s="54">
        <v>14.968499999999999</v>
      </c>
      <c r="G3384" s="54">
        <f t="shared" si="57"/>
        <v>2.9937</v>
      </c>
      <c r="H3384" s="73"/>
      <c r="I3384" s="74"/>
      <c r="J3384" s="155">
        <v>0</v>
      </c>
    </row>
    <row r="3385" spans="1:10" ht="15" hidden="1" thickBot="1" x14ac:dyDescent="0.35">
      <c r="A3385" s="230"/>
      <c r="B3385" s="225"/>
      <c r="C3385" s="36"/>
      <c r="D3385" s="36"/>
      <c r="E3385" s="37"/>
      <c r="F3385" s="54" t="s">
        <v>560</v>
      </c>
      <c r="G3385" s="54" t="str">
        <f t="shared" si="57"/>
        <v/>
      </c>
      <c r="H3385" s="73"/>
      <c r="I3385" s="74"/>
      <c r="J3385" s="155">
        <v>0</v>
      </c>
    </row>
    <row r="3386" spans="1:10" ht="15" hidden="1" thickBot="1" x14ac:dyDescent="0.35">
      <c r="A3386" s="226" t="s">
        <v>1067</v>
      </c>
      <c r="B3386" s="223" t="e">
        <f>INDEX(#REF!,MATCH(Composições!A3386,#REF!,0),2)</f>
        <v>#REF!</v>
      </c>
      <c r="C3386" s="41"/>
      <c r="D3386" s="26" t="e">
        <f>TRIM(INDEX(#REF!,MATCH(Composições!A3386,#REF!,0),1))</f>
        <v>#REF!</v>
      </c>
      <c r="E3386" s="27"/>
      <c r="F3386" s="49" t="s">
        <v>560</v>
      </c>
      <c r="G3386" s="28" t="str">
        <f t="shared" si="57"/>
        <v/>
      </c>
      <c r="H3386" s="29"/>
      <c r="I3386" s="30"/>
      <c r="J3386" s="155">
        <v>0</v>
      </c>
    </row>
    <row r="3387" spans="1:10" ht="15" hidden="1" thickBot="1" x14ac:dyDescent="0.35">
      <c r="A3387" s="229"/>
      <c r="B3387" s="224"/>
      <c r="C3387" s="32"/>
      <c r="D3387" s="32"/>
      <c r="E3387" s="33"/>
      <c r="F3387" s="54" t="s">
        <v>560</v>
      </c>
      <c r="G3387" s="54" t="str">
        <f t="shared" si="57"/>
        <v/>
      </c>
      <c r="H3387" s="73"/>
      <c r="I3387" s="74"/>
      <c r="J3387" s="155">
        <v>0</v>
      </c>
    </row>
    <row r="3388" spans="1:10" ht="15" hidden="1" thickBot="1" x14ac:dyDescent="0.35">
      <c r="A3388" s="229"/>
      <c r="B3388" s="224"/>
      <c r="C3388" s="36" t="s">
        <v>23</v>
      </c>
      <c r="D3388" s="36" t="s">
        <v>12</v>
      </c>
      <c r="E3388" s="37">
        <v>0.3</v>
      </c>
      <c r="F3388" s="54">
        <v>14.968499999999999</v>
      </c>
      <c r="G3388" s="54">
        <f t="shared" si="57"/>
        <v>4.4905499999999998</v>
      </c>
      <c r="H3388" s="39">
        <f>SUM(G3388)</f>
        <v>4.4905499999999998</v>
      </c>
      <c r="I3388" s="40"/>
      <c r="J3388" s="155">
        <v>0</v>
      </c>
    </row>
    <row r="3389" spans="1:10" ht="15" hidden="1" thickBot="1" x14ac:dyDescent="0.35">
      <c r="A3389" s="230"/>
      <c r="B3389" s="225"/>
      <c r="C3389" s="36"/>
      <c r="D3389" s="36"/>
      <c r="E3389" s="37"/>
      <c r="F3389" s="54" t="s">
        <v>560</v>
      </c>
      <c r="G3389" s="54" t="str">
        <f t="shared" si="57"/>
        <v/>
      </c>
      <c r="H3389" s="73"/>
      <c r="I3389" s="74"/>
      <c r="J3389" s="155">
        <v>0</v>
      </c>
    </row>
    <row r="3390" spans="1:10" ht="15" hidden="1" thickBot="1" x14ac:dyDescent="0.35">
      <c r="A3390" s="226" t="s">
        <v>1068</v>
      </c>
      <c r="B3390" s="223" t="e">
        <f>INDEX(#REF!,MATCH(Composições!A3390,#REF!,0),2)</f>
        <v>#REF!</v>
      </c>
      <c r="C3390" s="41"/>
      <c r="D3390" s="26" t="e">
        <f>TRIM(INDEX(#REF!,MATCH(Composições!A3390,#REF!,0),1))</f>
        <v>#REF!</v>
      </c>
      <c r="E3390" s="27"/>
      <c r="F3390" s="49" t="s">
        <v>560</v>
      </c>
      <c r="G3390" s="28" t="str">
        <f t="shared" si="57"/>
        <v/>
      </c>
      <c r="H3390" s="29"/>
      <c r="I3390" s="30"/>
      <c r="J3390" s="155">
        <v>0</v>
      </c>
    </row>
    <row r="3391" spans="1:10" ht="15" hidden="1" thickBot="1" x14ac:dyDescent="0.35">
      <c r="A3391" s="229"/>
      <c r="B3391" s="224"/>
      <c r="C3391" s="32"/>
      <c r="D3391" s="32"/>
      <c r="E3391" s="33"/>
      <c r="F3391" s="54" t="s">
        <v>560</v>
      </c>
      <c r="G3391" s="54" t="str">
        <f t="shared" si="57"/>
        <v/>
      </c>
      <c r="H3391" s="73"/>
      <c r="I3391" s="74"/>
      <c r="J3391" s="155">
        <v>0</v>
      </c>
    </row>
    <row r="3392" spans="1:10" ht="15" hidden="1" thickBot="1" x14ac:dyDescent="0.35">
      <c r="A3392" s="229"/>
      <c r="B3392" s="224"/>
      <c r="C3392" s="36" t="s">
        <v>23</v>
      </c>
      <c r="D3392" s="36" t="s">
        <v>12</v>
      </c>
      <c r="E3392" s="37">
        <v>0.1</v>
      </c>
      <c r="F3392" s="54">
        <v>14.968499999999999</v>
      </c>
      <c r="G3392" s="54">
        <f t="shared" si="57"/>
        <v>1.49685</v>
      </c>
      <c r="H3392" s="39">
        <f>SUM(G3392)</f>
        <v>1.49685</v>
      </c>
      <c r="I3392" s="40"/>
      <c r="J3392" s="155">
        <v>0</v>
      </c>
    </row>
    <row r="3393" spans="1:10" ht="15" hidden="1" thickBot="1" x14ac:dyDescent="0.35">
      <c r="A3393" s="230"/>
      <c r="B3393" s="225"/>
      <c r="C3393" s="36"/>
      <c r="D3393" s="36"/>
      <c r="E3393" s="37"/>
      <c r="F3393" s="54" t="s">
        <v>560</v>
      </c>
      <c r="G3393" s="54" t="str">
        <f t="shared" ref="G3393:G3456" si="58">IF(ISNUMBER(F3393),E3393*F3393,"")</f>
        <v/>
      </c>
      <c r="H3393" s="73"/>
      <c r="I3393" s="74"/>
      <c r="J3393" s="155">
        <v>0</v>
      </c>
    </row>
    <row r="3394" spans="1:10" ht="15" hidden="1" thickBot="1" x14ac:dyDescent="0.35">
      <c r="A3394" s="226" t="s">
        <v>1069</v>
      </c>
      <c r="B3394" s="223" t="e">
        <f>INDEX(#REF!,MATCH(Composições!A3394,#REF!,0),2)</f>
        <v>#REF!</v>
      </c>
      <c r="C3394" s="41"/>
      <c r="D3394" s="26" t="e">
        <f>TRIM(INDEX(#REF!,MATCH(Composições!A3394,#REF!,0),1))</f>
        <v>#REF!</v>
      </c>
      <c r="E3394" s="27"/>
      <c r="F3394" s="49" t="s">
        <v>560</v>
      </c>
      <c r="G3394" s="28" t="str">
        <f t="shared" si="58"/>
        <v/>
      </c>
      <c r="H3394" s="29"/>
      <c r="I3394" s="30"/>
      <c r="J3394" s="155">
        <v>0</v>
      </c>
    </row>
    <row r="3395" spans="1:10" ht="15" hidden="1" thickBot="1" x14ac:dyDescent="0.35">
      <c r="A3395" s="229"/>
      <c r="B3395" s="224"/>
      <c r="C3395" s="32"/>
      <c r="D3395" s="32"/>
      <c r="E3395" s="33"/>
      <c r="F3395" s="54" t="s">
        <v>560</v>
      </c>
      <c r="G3395" s="54" t="str">
        <f t="shared" si="58"/>
        <v/>
      </c>
      <c r="H3395" s="73"/>
      <c r="I3395" s="74"/>
      <c r="J3395" s="155">
        <v>0</v>
      </c>
    </row>
    <row r="3396" spans="1:10" ht="15" hidden="1" thickBot="1" x14ac:dyDescent="0.35">
      <c r="A3396" s="229"/>
      <c r="B3396" s="224"/>
      <c r="C3396" s="36" t="s">
        <v>22</v>
      </c>
      <c r="D3396" s="36" t="s">
        <v>12</v>
      </c>
      <c r="E3396" s="37">
        <f>0.1+0.1</f>
        <v>0.2</v>
      </c>
      <c r="F3396" s="54">
        <v>20.314999999999998</v>
      </c>
      <c r="G3396" s="54">
        <f t="shared" si="58"/>
        <v>4.0629999999999997</v>
      </c>
      <c r="H3396" s="39">
        <f>SUM(G3396:G3400)</f>
        <v>21.781689029743003</v>
      </c>
      <c r="I3396" s="40"/>
      <c r="J3396" s="155">
        <v>0</v>
      </c>
    </row>
    <row r="3397" spans="1:10" ht="15" hidden="1" thickBot="1" x14ac:dyDescent="0.35">
      <c r="A3397" s="229"/>
      <c r="B3397" s="224"/>
      <c r="C3397" s="36" t="s">
        <v>23</v>
      </c>
      <c r="D3397" s="36" t="s">
        <v>12</v>
      </c>
      <c r="E3397" s="37">
        <f>0.1+0.1</f>
        <v>0.2</v>
      </c>
      <c r="F3397" s="54">
        <v>14.968499999999999</v>
      </c>
      <c r="G3397" s="54">
        <f t="shared" si="58"/>
        <v>2.9937</v>
      </c>
      <c r="H3397" s="73"/>
      <c r="I3397" s="74"/>
      <c r="J3397" s="155">
        <v>0</v>
      </c>
    </row>
    <row r="3398" spans="1:10" ht="15" hidden="1" thickBot="1" x14ac:dyDescent="0.35">
      <c r="A3398" s="229"/>
      <c r="B3398" s="224"/>
      <c r="C3398" s="36" t="s">
        <v>1070</v>
      </c>
      <c r="D3398" s="36" t="s">
        <v>147</v>
      </c>
      <c r="E3398" s="37">
        <f>0.016*2</f>
        <v>3.2000000000000001E-2</v>
      </c>
      <c r="F3398" s="54">
        <v>176.05199999999999</v>
      </c>
      <c r="G3398" s="54">
        <f t="shared" si="58"/>
        <v>5.6336639999999996</v>
      </c>
      <c r="H3398" s="73"/>
      <c r="I3398" s="74"/>
      <c r="J3398" s="155">
        <v>0</v>
      </c>
    </row>
    <row r="3399" spans="1:10" ht="15" hidden="1" thickBot="1" x14ac:dyDescent="0.35">
      <c r="A3399" s="229"/>
      <c r="B3399" s="224"/>
      <c r="C3399" s="36" t="s">
        <v>1071</v>
      </c>
      <c r="D3399" s="36" t="s">
        <v>1072</v>
      </c>
      <c r="E3399" s="37">
        <f>0.1*2</f>
        <v>0.2</v>
      </c>
      <c r="F3399" s="54">
        <v>44.591000000000001</v>
      </c>
      <c r="G3399" s="54">
        <f t="shared" si="58"/>
        <v>8.9182000000000006</v>
      </c>
      <c r="H3399" s="73"/>
      <c r="I3399" s="74"/>
      <c r="J3399" s="155">
        <v>0</v>
      </c>
    </row>
    <row r="3400" spans="1:10" ht="40.200000000000003" hidden="1" thickBot="1" x14ac:dyDescent="0.35">
      <c r="A3400" s="229"/>
      <c r="B3400" s="224"/>
      <c r="C3400" s="36" t="s">
        <v>1073</v>
      </c>
      <c r="D3400" s="36" t="s">
        <v>110</v>
      </c>
      <c r="E3400" s="37">
        <f>ROUND(0.15*0.05*0.05,4)</f>
        <v>4.0000000000000002E-4</v>
      </c>
      <c r="F3400" s="54">
        <v>432.81257435750001</v>
      </c>
      <c r="G3400" s="54">
        <f t="shared" si="58"/>
        <v>0.17312502974300001</v>
      </c>
      <c r="H3400" s="73"/>
      <c r="I3400" s="74"/>
      <c r="J3400" s="155">
        <v>0</v>
      </c>
    </row>
    <row r="3401" spans="1:10" ht="15" hidden="1" thickBot="1" x14ac:dyDescent="0.35">
      <c r="A3401" s="229"/>
      <c r="B3401" s="224"/>
      <c r="C3401" s="36"/>
      <c r="D3401" s="36"/>
      <c r="E3401" s="37"/>
      <c r="F3401" s="54" t="s">
        <v>560</v>
      </c>
      <c r="G3401" s="54" t="str">
        <f t="shared" si="58"/>
        <v/>
      </c>
      <c r="H3401" s="73"/>
      <c r="I3401" s="74"/>
      <c r="J3401" s="155">
        <v>0</v>
      </c>
    </row>
    <row r="3402" spans="1:10" ht="15" hidden="1" thickBot="1" x14ac:dyDescent="0.35">
      <c r="A3402" s="229"/>
      <c r="B3402" s="224"/>
      <c r="C3402" s="152" t="s">
        <v>1074</v>
      </c>
      <c r="D3402" s="36"/>
      <c r="E3402" s="37"/>
      <c r="F3402" s="54" t="s">
        <v>560</v>
      </c>
      <c r="G3402" s="54" t="str">
        <f t="shared" si="58"/>
        <v/>
      </c>
      <c r="H3402" s="73"/>
      <c r="I3402" s="74"/>
      <c r="J3402" s="155">
        <v>0</v>
      </c>
    </row>
    <row r="3403" spans="1:10" ht="15" hidden="1" thickBot="1" x14ac:dyDescent="0.35">
      <c r="A3403" s="230"/>
      <c r="B3403" s="225"/>
      <c r="C3403" s="36"/>
      <c r="D3403" s="36"/>
      <c r="E3403" s="37"/>
      <c r="F3403" s="54" t="s">
        <v>560</v>
      </c>
      <c r="G3403" s="54" t="str">
        <f t="shared" si="58"/>
        <v/>
      </c>
      <c r="H3403" s="73"/>
      <c r="I3403" s="74"/>
      <c r="J3403" s="155">
        <v>0</v>
      </c>
    </row>
    <row r="3404" spans="1:10" ht="15" hidden="1" thickBot="1" x14ac:dyDescent="0.35">
      <c r="A3404" s="226" t="s">
        <v>1075</v>
      </c>
      <c r="B3404" s="223" t="e">
        <f>INDEX(#REF!,MATCH(Composições!A3404,#REF!,0),2)</f>
        <v>#REF!</v>
      </c>
      <c r="C3404" s="41"/>
      <c r="D3404" s="26" t="e">
        <f>TRIM(INDEX(#REF!,MATCH(Composições!A3404,#REF!,0),1))</f>
        <v>#REF!</v>
      </c>
      <c r="E3404" s="27"/>
      <c r="F3404" s="49" t="s">
        <v>560</v>
      </c>
      <c r="G3404" s="28" t="str">
        <f t="shared" si="58"/>
        <v/>
      </c>
      <c r="H3404" s="29"/>
      <c r="I3404" s="30"/>
      <c r="J3404" s="155">
        <v>0</v>
      </c>
    </row>
    <row r="3405" spans="1:10" ht="15" hidden="1" thickBot="1" x14ac:dyDescent="0.35">
      <c r="A3405" s="229"/>
      <c r="B3405" s="224"/>
      <c r="C3405" s="32"/>
      <c r="D3405" s="32"/>
      <c r="E3405" s="33"/>
      <c r="F3405" s="54" t="s">
        <v>560</v>
      </c>
      <c r="G3405" s="54" t="str">
        <f t="shared" si="58"/>
        <v/>
      </c>
      <c r="H3405" s="73"/>
      <c r="I3405" s="74"/>
      <c r="J3405" s="155">
        <v>0</v>
      </c>
    </row>
    <row r="3406" spans="1:10" ht="15" hidden="1" thickBot="1" x14ac:dyDescent="0.35">
      <c r="A3406" s="229"/>
      <c r="B3406" s="224"/>
      <c r="C3406" s="36" t="s">
        <v>22</v>
      </c>
      <c r="D3406" s="36" t="s">
        <v>12</v>
      </c>
      <c r="E3406" s="37">
        <f>0.1+0.1</f>
        <v>0.2</v>
      </c>
      <c r="F3406" s="54">
        <v>20.314999999999998</v>
      </c>
      <c r="G3406" s="54">
        <f t="shared" si="58"/>
        <v>4.0629999999999997</v>
      </c>
      <c r="H3406" s="39">
        <f>SUM(G3406:G3411)</f>
        <v>21.781689029743003</v>
      </c>
      <c r="I3406" s="40"/>
      <c r="J3406" s="155">
        <v>0</v>
      </c>
    </row>
    <row r="3407" spans="1:10" ht="15" hidden="1" thickBot="1" x14ac:dyDescent="0.35">
      <c r="A3407" s="229"/>
      <c r="B3407" s="224"/>
      <c r="C3407" s="36" t="s">
        <v>23</v>
      </c>
      <c r="D3407" s="36" t="s">
        <v>12</v>
      </c>
      <c r="E3407" s="37">
        <f>0.1+0.1</f>
        <v>0.2</v>
      </c>
      <c r="F3407" s="54">
        <v>14.968499999999999</v>
      </c>
      <c r="G3407" s="54">
        <f t="shared" si="58"/>
        <v>2.9937</v>
      </c>
      <c r="H3407" s="73"/>
      <c r="I3407" s="74"/>
      <c r="J3407" s="155">
        <v>0</v>
      </c>
    </row>
    <row r="3408" spans="1:10" ht="15" hidden="1" thickBot="1" x14ac:dyDescent="0.35">
      <c r="A3408" s="229"/>
      <c r="B3408" s="224"/>
      <c r="C3408" s="36" t="s">
        <v>1070</v>
      </c>
      <c r="D3408" s="36" t="s">
        <v>147</v>
      </c>
      <c r="E3408" s="37">
        <f>0.016*2</f>
        <v>3.2000000000000001E-2</v>
      </c>
      <c r="F3408" s="54">
        <v>176.05199999999999</v>
      </c>
      <c r="G3408" s="54">
        <f t="shared" si="58"/>
        <v>5.6336639999999996</v>
      </c>
      <c r="H3408" s="73"/>
      <c r="I3408" s="74"/>
      <c r="J3408" s="155">
        <v>0</v>
      </c>
    </row>
    <row r="3409" spans="1:10" ht="15" hidden="1" thickBot="1" x14ac:dyDescent="0.35">
      <c r="A3409" s="229"/>
      <c r="B3409" s="224"/>
      <c r="C3409" s="36" t="s">
        <v>1071</v>
      </c>
      <c r="D3409" s="36" t="s">
        <v>1072</v>
      </c>
      <c r="E3409" s="37">
        <f>0.1*2</f>
        <v>0.2</v>
      </c>
      <c r="F3409" s="54">
        <v>44.591000000000001</v>
      </c>
      <c r="G3409" s="54">
        <f t="shared" si="58"/>
        <v>8.9182000000000006</v>
      </c>
      <c r="H3409" s="73"/>
      <c r="I3409" s="74"/>
      <c r="J3409" s="155">
        <v>0</v>
      </c>
    </row>
    <row r="3410" spans="1:10" ht="15" hidden="1" thickBot="1" x14ac:dyDescent="0.35">
      <c r="A3410" s="229"/>
      <c r="B3410" s="224"/>
      <c r="C3410" s="36" t="s">
        <v>1076</v>
      </c>
      <c r="D3410" s="36" t="s">
        <v>147</v>
      </c>
      <c r="E3410" s="37">
        <v>1</v>
      </c>
      <c r="F3410" s="54" t="s">
        <v>560</v>
      </c>
      <c r="G3410" s="54" t="str">
        <f t="shared" si="58"/>
        <v/>
      </c>
      <c r="H3410" s="73"/>
      <c r="I3410" s="74"/>
      <c r="J3410" s="155">
        <v>0</v>
      </c>
    </row>
    <row r="3411" spans="1:10" ht="40.200000000000003" hidden="1" thickBot="1" x14ac:dyDescent="0.35">
      <c r="A3411" s="229"/>
      <c r="B3411" s="224"/>
      <c r="C3411" s="36" t="s">
        <v>1073</v>
      </c>
      <c r="D3411" s="36" t="s">
        <v>110</v>
      </c>
      <c r="E3411" s="37">
        <f>ROUND(0.15*0.05*0.05,4)</f>
        <v>4.0000000000000002E-4</v>
      </c>
      <c r="F3411" s="54">
        <v>432.81257435750001</v>
      </c>
      <c r="G3411" s="54">
        <f t="shared" si="58"/>
        <v>0.17312502974300001</v>
      </c>
      <c r="H3411" s="73"/>
      <c r="I3411" s="74"/>
      <c r="J3411" s="155">
        <v>0</v>
      </c>
    </row>
    <row r="3412" spans="1:10" ht="15" hidden="1" thickBot="1" x14ac:dyDescent="0.35">
      <c r="A3412" s="229"/>
      <c r="B3412" s="224"/>
      <c r="C3412" s="36"/>
      <c r="D3412" s="36"/>
      <c r="E3412" s="37"/>
      <c r="F3412" s="54" t="s">
        <v>560</v>
      </c>
      <c r="G3412" s="54" t="str">
        <f t="shared" si="58"/>
        <v/>
      </c>
      <c r="H3412" s="73"/>
      <c r="I3412" s="74"/>
      <c r="J3412" s="155">
        <v>0</v>
      </c>
    </row>
    <row r="3413" spans="1:10" ht="15" hidden="1" thickBot="1" x14ac:dyDescent="0.35">
      <c r="A3413" s="229"/>
      <c r="B3413" s="224"/>
      <c r="C3413" s="152" t="s">
        <v>1074</v>
      </c>
      <c r="D3413" s="36"/>
      <c r="E3413" s="37"/>
      <c r="F3413" s="54" t="s">
        <v>560</v>
      </c>
      <c r="G3413" s="54" t="str">
        <f t="shared" si="58"/>
        <v/>
      </c>
      <c r="H3413" s="73"/>
      <c r="I3413" s="74"/>
      <c r="J3413" s="155">
        <v>0</v>
      </c>
    </row>
    <row r="3414" spans="1:10" ht="15" hidden="1" thickBot="1" x14ac:dyDescent="0.35">
      <c r="A3414" s="230"/>
      <c r="B3414" s="225"/>
      <c r="C3414" s="36"/>
      <c r="D3414" s="36"/>
      <c r="E3414" s="37"/>
      <c r="F3414" s="54" t="s">
        <v>560</v>
      </c>
      <c r="G3414" s="54" t="str">
        <f t="shared" si="58"/>
        <v/>
      </c>
      <c r="H3414" s="73"/>
      <c r="I3414" s="74"/>
      <c r="J3414" s="155">
        <v>0</v>
      </c>
    </row>
    <row r="3415" spans="1:10" ht="15" hidden="1" thickBot="1" x14ac:dyDescent="0.35">
      <c r="A3415" s="226" t="s">
        <v>1077</v>
      </c>
      <c r="B3415" s="223" t="e">
        <f>INDEX(#REF!,MATCH(Composições!A3415,#REF!,0),2)</f>
        <v>#REF!</v>
      </c>
      <c r="C3415" s="41"/>
      <c r="D3415" s="26" t="e">
        <f>TRIM(INDEX(#REF!,MATCH(Composições!A3415,#REF!,0),1))</f>
        <v>#REF!</v>
      </c>
      <c r="E3415" s="27"/>
      <c r="F3415" s="49" t="s">
        <v>560</v>
      </c>
      <c r="G3415" s="28" t="str">
        <f t="shared" si="58"/>
        <v/>
      </c>
      <c r="H3415" s="29"/>
      <c r="I3415" s="30"/>
      <c r="J3415" s="155">
        <v>0</v>
      </c>
    </row>
    <row r="3416" spans="1:10" ht="15" hidden="1" thickBot="1" x14ac:dyDescent="0.35">
      <c r="A3416" s="229"/>
      <c r="B3416" s="224"/>
      <c r="C3416" s="32"/>
      <c r="D3416" s="32"/>
      <c r="E3416" s="33"/>
      <c r="F3416" s="54" t="s">
        <v>560</v>
      </c>
      <c r="G3416" s="54" t="str">
        <f t="shared" si="58"/>
        <v/>
      </c>
      <c r="H3416" s="73"/>
      <c r="I3416" s="74"/>
      <c r="J3416" s="155">
        <v>0</v>
      </c>
    </row>
    <row r="3417" spans="1:10" ht="15" hidden="1" thickBot="1" x14ac:dyDescent="0.35">
      <c r="A3417" s="229"/>
      <c r="B3417" s="224"/>
      <c r="C3417" s="36" t="s">
        <v>1078</v>
      </c>
      <c r="D3417" s="36" t="s">
        <v>95</v>
      </c>
      <c r="E3417" s="37">
        <v>1.05</v>
      </c>
      <c r="F3417" s="54" t="s">
        <v>560</v>
      </c>
      <c r="G3417" s="54" t="str">
        <f t="shared" si="58"/>
        <v/>
      </c>
      <c r="H3417" s="39">
        <f>SUM(G3417:G3421)</f>
        <v>37.779525000000007</v>
      </c>
      <c r="I3417" s="40"/>
      <c r="J3417" s="155">
        <v>0</v>
      </c>
    </row>
    <row r="3418" spans="1:10" ht="15" hidden="1" thickBot="1" x14ac:dyDescent="0.35">
      <c r="A3418" s="229"/>
      <c r="B3418" s="224"/>
      <c r="C3418" s="36" t="s">
        <v>54</v>
      </c>
      <c r="D3418" s="36" t="s">
        <v>12</v>
      </c>
      <c r="E3418" s="37">
        <v>1.35</v>
      </c>
      <c r="F3418" s="54">
        <v>16.923500000000001</v>
      </c>
      <c r="G3418" s="54">
        <f t="shared" si="58"/>
        <v>22.846725000000003</v>
      </c>
      <c r="H3418" s="73"/>
      <c r="I3418" s="74"/>
      <c r="J3418" s="155">
        <v>0</v>
      </c>
    </row>
    <row r="3419" spans="1:10" ht="15" hidden="1" thickBot="1" x14ac:dyDescent="0.35">
      <c r="A3419" s="229"/>
      <c r="B3419" s="224"/>
      <c r="C3419" s="36" t="s">
        <v>23</v>
      </c>
      <c r="D3419" s="36" t="s">
        <v>12</v>
      </c>
      <c r="E3419" s="37">
        <v>0.6</v>
      </c>
      <c r="F3419" s="54">
        <v>14.968499999999999</v>
      </c>
      <c r="G3419" s="54">
        <f t="shared" si="58"/>
        <v>8.9810999999999996</v>
      </c>
      <c r="H3419" s="73"/>
      <c r="I3419" s="74"/>
      <c r="J3419" s="155">
        <v>0</v>
      </c>
    </row>
    <row r="3420" spans="1:10" ht="15" hidden="1" thickBot="1" x14ac:dyDescent="0.35">
      <c r="A3420" s="229"/>
      <c r="B3420" s="224"/>
      <c r="C3420" s="36" t="s">
        <v>1933</v>
      </c>
      <c r="D3420" s="36" t="s">
        <v>42</v>
      </c>
      <c r="E3420" s="37">
        <v>4.5</v>
      </c>
      <c r="F3420" s="54">
        <v>1.1729999999999998</v>
      </c>
      <c r="G3420" s="54">
        <f t="shared" si="58"/>
        <v>5.2784999999999993</v>
      </c>
      <c r="H3420" s="73"/>
      <c r="I3420" s="74"/>
      <c r="J3420" s="155">
        <v>0</v>
      </c>
    </row>
    <row r="3421" spans="1:10" ht="15" hidden="1" thickBot="1" x14ac:dyDescent="0.35">
      <c r="A3421" s="229"/>
      <c r="B3421" s="224"/>
      <c r="C3421" s="36" t="s">
        <v>1932</v>
      </c>
      <c r="D3421" s="36" t="s">
        <v>42</v>
      </c>
      <c r="E3421" s="37">
        <v>0.3</v>
      </c>
      <c r="F3421" s="54">
        <v>2.2440000000000002</v>
      </c>
      <c r="G3421" s="54">
        <f t="shared" si="58"/>
        <v>0.67320000000000002</v>
      </c>
      <c r="H3421" s="73"/>
      <c r="I3421" s="74"/>
      <c r="J3421" s="155">
        <v>0</v>
      </c>
    </row>
    <row r="3422" spans="1:10" ht="15" hidden="1" thickBot="1" x14ac:dyDescent="0.35">
      <c r="A3422" s="230"/>
      <c r="B3422" s="225"/>
      <c r="C3422" s="36"/>
      <c r="D3422" s="36"/>
      <c r="E3422" s="37"/>
      <c r="F3422" s="54" t="s">
        <v>560</v>
      </c>
      <c r="G3422" s="54" t="str">
        <f t="shared" si="58"/>
        <v/>
      </c>
      <c r="H3422" s="73"/>
      <c r="I3422" s="74"/>
      <c r="J3422" s="155">
        <v>0</v>
      </c>
    </row>
    <row r="3423" spans="1:10" ht="15" hidden="1" thickBot="1" x14ac:dyDescent="0.35">
      <c r="A3423" s="226" t="s">
        <v>1079</v>
      </c>
      <c r="B3423" s="223" t="e">
        <f>INDEX(#REF!,MATCH(Composições!A3423,#REF!,0),2)</f>
        <v>#REF!</v>
      </c>
      <c r="C3423" s="41"/>
      <c r="D3423" s="26" t="e">
        <f>TRIM(INDEX(#REF!,MATCH(Composições!A3423,#REF!,0),1))</f>
        <v>#REF!</v>
      </c>
      <c r="E3423" s="27"/>
      <c r="F3423" s="49" t="s">
        <v>560</v>
      </c>
      <c r="G3423" s="28" t="str">
        <f t="shared" si="58"/>
        <v/>
      </c>
      <c r="H3423" s="29"/>
      <c r="I3423" s="30"/>
      <c r="J3423" s="155">
        <v>0</v>
      </c>
    </row>
    <row r="3424" spans="1:10" ht="15" hidden="1" thickBot="1" x14ac:dyDescent="0.35">
      <c r="A3424" s="229"/>
      <c r="B3424" s="224"/>
      <c r="C3424" s="32"/>
      <c r="D3424" s="32"/>
      <c r="E3424" s="33"/>
      <c r="F3424" s="54" t="s">
        <v>560</v>
      </c>
      <c r="G3424" s="54" t="str">
        <f t="shared" si="58"/>
        <v/>
      </c>
      <c r="H3424" s="73"/>
      <c r="I3424" s="74"/>
      <c r="J3424" s="155">
        <v>0</v>
      </c>
    </row>
    <row r="3425" spans="1:10" ht="15" hidden="1" thickBot="1" x14ac:dyDescent="0.35">
      <c r="A3425" s="229"/>
      <c r="B3425" s="224"/>
      <c r="C3425" s="36" t="s">
        <v>1078</v>
      </c>
      <c r="D3425" s="36" t="s">
        <v>95</v>
      </c>
      <c r="E3425" s="37">
        <v>1.05</v>
      </c>
      <c r="F3425" s="54" t="s">
        <v>560</v>
      </c>
      <c r="G3425" s="54" t="str">
        <f t="shared" si="58"/>
        <v/>
      </c>
      <c r="H3425" s="39">
        <f>SUM(G3425:G3435)</f>
        <v>119.40049375743575</v>
      </c>
      <c r="I3425" s="40"/>
      <c r="J3425" s="155">
        <v>0</v>
      </c>
    </row>
    <row r="3426" spans="1:10" ht="15" hidden="1" thickBot="1" x14ac:dyDescent="0.35">
      <c r="A3426" s="229"/>
      <c r="B3426" s="224"/>
      <c r="C3426" s="36" t="s">
        <v>54</v>
      </c>
      <c r="D3426" s="36" t="s">
        <v>12</v>
      </c>
      <c r="E3426" s="37">
        <f>1.35</f>
        <v>1.35</v>
      </c>
      <c r="F3426" s="54">
        <v>16.923500000000001</v>
      </c>
      <c r="G3426" s="54">
        <f t="shared" si="58"/>
        <v>22.846725000000003</v>
      </c>
      <c r="H3426" s="73"/>
      <c r="I3426" s="74"/>
      <c r="J3426" s="155">
        <v>0</v>
      </c>
    </row>
    <row r="3427" spans="1:10" ht="15" hidden="1" thickBot="1" x14ac:dyDescent="0.35">
      <c r="A3427" s="229"/>
      <c r="B3427" s="224"/>
      <c r="C3427" s="36" t="s">
        <v>22</v>
      </c>
      <c r="D3427" s="36" t="s">
        <v>12</v>
      </c>
      <c r="E3427" s="37">
        <v>0.1</v>
      </c>
      <c r="F3427" s="54">
        <v>20.314999999999998</v>
      </c>
      <c r="G3427" s="54">
        <f t="shared" si="58"/>
        <v>2.0314999999999999</v>
      </c>
      <c r="H3427" s="73"/>
      <c r="I3427" s="74"/>
      <c r="J3427" s="155">
        <v>0</v>
      </c>
    </row>
    <row r="3428" spans="1:10" ht="15" hidden="1" thickBot="1" x14ac:dyDescent="0.35">
      <c r="A3428" s="229"/>
      <c r="B3428" s="224"/>
      <c r="C3428" s="36" t="s">
        <v>23</v>
      </c>
      <c r="D3428" s="36" t="s">
        <v>12</v>
      </c>
      <c r="E3428" s="37">
        <f>0.6+0.1+0.1</f>
        <v>0.79999999999999993</v>
      </c>
      <c r="F3428" s="54">
        <v>14.968499999999999</v>
      </c>
      <c r="G3428" s="54">
        <f t="shared" si="58"/>
        <v>11.974799999999998</v>
      </c>
      <c r="H3428" s="73"/>
      <c r="I3428" s="74"/>
      <c r="J3428" s="155">
        <v>0</v>
      </c>
    </row>
    <row r="3429" spans="1:10" ht="15" hidden="1" thickBot="1" x14ac:dyDescent="0.35">
      <c r="A3429" s="229"/>
      <c r="B3429" s="224"/>
      <c r="C3429" s="36" t="s">
        <v>1933</v>
      </c>
      <c r="D3429" s="36" t="s">
        <v>42</v>
      </c>
      <c r="E3429" s="37">
        <v>4.5</v>
      </c>
      <c r="F3429" s="54">
        <v>1.1729999999999998</v>
      </c>
      <c r="G3429" s="54">
        <f t="shared" si="58"/>
        <v>5.2784999999999993</v>
      </c>
      <c r="H3429" s="73"/>
      <c r="I3429" s="74"/>
      <c r="J3429" s="155">
        <v>0</v>
      </c>
    </row>
    <row r="3430" spans="1:10" ht="15" hidden="1" thickBot="1" x14ac:dyDescent="0.35">
      <c r="A3430" s="229"/>
      <c r="B3430" s="224"/>
      <c r="C3430" s="36" t="s">
        <v>1932</v>
      </c>
      <c r="D3430" s="36" t="s">
        <v>42</v>
      </c>
      <c r="E3430" s="37">
        <v>0.3</v>
      </c>
      <c r="F3430" s="54">
        <v>2.2440000000000002</v>
      </c>
      <c r="G3430" s="54">
        <f t="shared" si="58"/>
        <v>0.67320000000000002</v>
      </c>
      <c r="H3430" s="73"/>
      <c r="I3430" s="74"/>
      <c r="J3430" s="155">
        <v>0</v>
      </c>
    </row>
    <row r="3431" spans="1:10" ht="27" hidden="1" thickBot="1" x14ac:dyDescent="0.35">
      <c r="A3431" s="229"/>
      <c r="B3431" s="224"/>
      <c r="C3431" s="36" t="s">
        <v>1080</v>
      </c>
      <c r="D3431" s="36" t="s">
        <v>292</v>
      </c>
      <c r="E3431" s="37">
        <f>2/(0.4*0.8)</f>
        <v>6.2499999999999991</v>
      </c>
      <c r="F3431" s="54">
        <v>1.3345</v>
      </c>
      <c r="G3431" s="54">
        <f t="shared" si="58"/>
        <v>8.3406249999999993</v>
      </c>
      <c r="H3431" s="73"/>
      <c r="I3431" s="74"/>
      <c r="J3431" s="155">
        <v>0</v>
      </c>
    </row>
    <row r="3432" spans="1:10" ht="15" hidden="1" thickBot="1" x14ac:dyDescent="0.35">
      <c r="A3432" s="229"/>
      <c r="B3432" s="224"/>
      <c r="C3432" s="36" t="s">
        <v>1070</v>
      </c>
      <c r="D3432" s="36" t="s">
        <v>147</v>
      </c>
      <c r="E3432" s="37">
        <f>(2/(0.4*0.8))*(0.016)*1.5</f>
        <v>0.15</v>
      </c>
      <c r="F3432" s="54">
        <v>176.05199999999999</v>
      </c>
      <c r="G3432" s="54">
        <f t="shared" si="58"/>
        <v>26.407799999999998</v>
      </c>
      <c r="H3432" s="73"/>
      <c r="I3432" s="74"/>
      <c r="J3432" s="155">
        <v>0</v>
      </c>
    </row>
    <row r="3433" spans="1:10" ht="15" hidden="1" thickBot="1" x14ac:dyDescent="0.35">
      <c r="A3433" s="229"/>
      <c r="B3433" s="224"/>
      <c r="C3433" s="36" t="s">
        <v>1071</v>
      </c>
      <c r="D3433" s="36" t="s">
        <v>1072</v>
      </c>
      <c r="E3433" s="37">
        <f>(2/(0.4*0.8))*0.1*1.5</f>
        <v>0.9375</v>
      </c>
      <c r="F3433" s="54">
        <v>44.591000000000001</v>
      </c>
      <c r="G3433" s="54">
        <f t="shared" si="58"/>
        <v>41.804062500000001</v>
      </c>
      <c r="H3433" s="73"/>
      <c r="I3433" s="74"/>
      <c r="J3433" s="155">
        <v>0</v>
      </c>
    </row>
    <row r="3434" spans="1:10" ht="15" hidden="1" thickBot="1" x14ac:dyDescent="0.35">
      <c r="A3434" s="229"/>
      <c r="B3434" s="224"/>
      <c r="C3434" s="36" t="s">
        <v>1081</v>
      </c>
      <c r="D3434" s="36" t="s">
        <v>147</v>
      </c>
      <c r="E3434" s="37">
        <f>2/(0.4*0.8)</f>
        <v>6.2499999999999991</v>
      </c>
      <c r="F3434" s="54" t="s">
        <v>560</v>
      </c>
      <c r="G3434" s="54" t="str">
        <f t="shared" si="58"/>
        <v/>
      </c>
      <c r="H3434" s="73"/>
      <c r="I3434" s="74"/>
      <c r="J3434" s="155">
        <v>0</v>
      </c>
    </row>
    <row r="3435" spans="1:10" ht="40.200000000000003" hidden="1" thickBot="1" x14ac:dyDescent="0.35">
      <c r="A3435" s="229"/>
      <c r="B3435" s="224"/>
      <c r="C3435" s="36" t="s">
        <v>1073</v>
      </c>
      <c r="D3435" s="36" t="s">
        <v>110</v>
      </c>
      <c r="E3435" s="37">
        <v>1E-4</v>
      </c>
      <c r="F3435" s="54">
        <v>432.81257435750001</v>
      </c>
      <c r="G3435" s="54">
        <f t="shared" si="58"/>
        <v>4.3281257435750002E-2</v>
      </c>
      <c r="H3435" s="73"/>
      <c r="I3435" s="74"/>
      <c r="J3435" s="155">
        <v>0</v>
      </c>
    </row>
    <row r="3436" spans="1:10" ht="15" hidden="1" thickBot="1" x14ac:dyDescent="0.35">
      <c r="A3436" s="229"/>
      <c r="B3436" s="224"/>
      <c r="C3436" s="36"/>
      <c r="D3436" s="36"/>
      <c r="E3436" s="37"/>
      <c r="F3436" s="54" t="s">
        <v>560</v>
      </c>
      <c r="G3436" s="54" t="str">
        <f t="shared" si="58"/>
        <v/>
      </c>
      <c r="H3436" s="73"/>
      <c r="I3436" s="74"/>
      <c r="J3436" s="155">
        <v>0</v>
      </c>
    </row>
    <row r="3437" spans="1:10" ht="15" hidden="1" thickBot="1" x14ac:dyDescent="0.35">
      <c r="A3437" s="229"/>
      <c r="B3437" s="224"/>
      <c r="C3437" s="152" t="s">
        <v>1082</v>
      </c>
      <c r="D3437" s="36"/>
      <c r="E3437" s="37"/>
      <c r="F3437" s="54" t="s">
        <v>560</v>
      </c>
      <c r="G3437" s="54" t="str">
        <f t="shared" si="58"/>
        <v/>
      </c>
      <c r="H3437" s="73"/>
      <c r="I3437" s="74"/>
      <c r="J3437" s="155">
        <v>0</v>
      </c>
    </row>
    <row r="3438" spans="1:10" ht="27" hidden="1" thickBot="1" x14ac:dyDescent="0.35">
      <c r="A3438" s="229"/>
      <c r="B3438" s="224"/>
      <c r="C3438" s="152" t="s">
        <v>1083</v>
      </c>
      <c r="D3438" s="36"/>
      <c r="E3438" s="37"/>
      <c r="F3438" s="54" t="s">
        <v>560</v>
      </c>
      <c r="G3438" s="54" t="str">
        <f t="shared" si="58"/>
        <v/>
      </c>
      <c r="H3438" s="73"/>
      <c r="I3438" s="74"/>
      <c r="J3438" s="155">
        <v>0</v>
      </c>
    </row>
    <row r="3439" spans="1:10" ht="15" hidden="1" thickBot="1" x14ac:dyDescent="0.35">
      <c r="A3439" s="230"/>
      <c r="B3439" s="225"/>
      <c r="C3439" s="36"/>
      <c r="D3439" s="36"/>
      <c r="E3439" s="37"/>
      <c r="F3439" s="54" t="s">
        <v>560</v>
      </c>
      <c r="G3439" s="54" t="str">
        <f t="shared" si="58"/>
        <v/>
      </c>
      <c r="H3439" s="73"/>
      <c r="I3439" s="74"/>
      <c r="J3439" s="155">
        <v>0</v>
      </c>
    </row>
    <row r="3440" spans="1:10" ht="15" hidden="1" thickBot="1" x14ac:dyDescent="0.35">
      <c r="A3440" s="226" t="s">
        <v>1084</v>
      </c>
      <c r="B3440" s="223" t="e">
        <f>INDEX(#REF!,MATCH(Composições!A3440,#REF!,0),2)</f>
        <v>#REF!</v>
      </c>
      <c r="C3440" s="41"/>
      <c r="D3440" s="26" t="e">
        <f>TRIM(INDEX(#REF!,MATCH(Composições!A3440,#REF!,0),1))</f>
        <v>#REF!</v>
      </c>
      <c r="E3440" s="27"/>
      <c r="F3440" s="49" t="s">
        <v>560</v>
      </c>
      <c r="G3440" s="28" t="str">
        <f t="shared" si="58"/>
        <v/>
      </c>
      <c r="H3440" s="29"/>
      <c r="I3440" s="30"/>
      <c r="J3440" s="155">
        <v>0</v>
      </c>
    </row>
    <row r="3441" spans="1:10" ht="15" hidden="1" thickBot="1" x14ac:dyDescent="0.35">
      <c r="A3441" s="229"/>
      <c r="B3441" s="224"/>
      <c r="C3441" s="32"/>
      <c r="D3441" s="32"/>
      <c r="E3441" s="33"/>
      <c r="F3441" s="54" t="s">
        <v>560</v>
      </c>
      <c r="G3441" s="54" t="str">
        <f t="shared" si="58"/>
        <v/>
      </c>
      <c r="H3441" s="73"/>
      <c r="I3441" s="74"/>
      <c r="J3441" s="155">
        <v>0</v>
      </c>
    </row>
    <row r="3442" spans="1:10" ht="15" hidden="1" thickBot="1" x14ac:dyDescent="0.35">
      <c r="A3442" s="229"/>
      <c r="B3442" s="224"/>
      <c r="C3442" s="36" t="s">
        <v>1085</v>
      </c>
      <c r="D3442" s="36" t="s">
        <v>95</v>
      </c>
      <c r="E3442" s="37">
        <v>1.05</v>
      </c>
      <c r="F3442" s="54" t="s">
        <v>560</v>
      </c>
      <c r="G3442" s="54" t="str">
        <f t="shared" si="58"/>
        <v/>
      </c>
      <c r="H3442" s="39">
        <f>SUM(G3442:G3446)</f>
        <v>37.779525000000007</v>
      </c>
      <c r="I3442" s="40"/>
      <c r="J3442" s="155">
        <v>0</v>
      </c>
    </row>
    <row r="3443" spans="1:10" ht="15" hidden="1" thickBot="1" x14ac:dyDescent="0.35">
      <c r="A3443" s="229"/>
      <c r="B3443" s="224"/>
      <c r="C3443" s="36" t="s">
        <v>54</v>
      </c>
      <c r="D3443" s="36" t="s">
        <v>12</v>
      </c>
      <c r="E3443" s="37">
        <v>1.35</v>
      </c>
      <c r="F3443" s="54">
        <v>16.923500000000001</v>
      </c>
      <c r="G3443" s="54">
        <f t="shared" si="58"/>
        <v>22.846725000000003</v>
      </c>
      <c r="H3443" s="73"/>
      <c r="I3443" s="74"/>
      <c r="J3443" s="155">
        <v>0</v>
      </c>
    </row>
    <row r="3444" spans="1:10" ht="15" hidden="1" thickBot="1" x14ac:dyDescent="0.35">
      <c r="A3444" s="229"/>
      <c r="B3444" s="224"/>
      <c r="C3444" s="36" t="s">
        <v>23</v>
      </c>
      <c r="D3444" s="36" t="s">
        <v>12</v>
      </c>
      <c r="E3444" s="37">
        <v>0.6</v>
      </c>
      <c r="F3444" s="54">
        <v>14.968499999999999</v>
      </c>
      <c r="G3444" s="54">
        <f t="shared" si="58"/>
        <v>8.9810999999999996</v>
      </c>
      <c r="H3444" s="73"/>
      <c r="I3444" s="74"/>
      <c r="J3444" s="155">
        <v>0</v>
      </c>
    </row>
    <row r="3445" spans="1:10" ht="15" hidden="1" thickBot="1" x14ac:dyDescent="0.35">
      <c r="A3445" s="229"/>
      <c r="B3445" s="224"/>
      <c r="C3445" s="36" t="s">
        <v>1933</v>
      </c>
      <c r="D3445" s="36" t="s">
        <v>42</v>
      </c>
      <c r="E3445" s="37">
        <v>4.5</v>
      </c>
      <c r="F3445" s="54">
        <v>1.1729999999999998</v>
      </c>
      <c r="G3445" s="54">
        <f t="shared" si="58"/>
        <v>5.2784999999999993</v>
      </c>
      <c r="H3445" s="73"/>
      <c r="I3445" s="74"/>
      <c r="J3445" s="155">
        <v>0</v>
      </c>
    </row>
    <row r="3446" spans="1:10" ht="15" hidden="1" thickBot="1" x14ac:dyDescent="0.35">
      <c r="A3446" s="229"/>
      <c r="B3446" s="224"/>
      <c r="C3446" s="36" t="s">
        <v>1932</v>
      </c>
      <c r="D3446" s="36" t="s">
        <v>42</v>
      </c>
      <c r="E3446" s="37">
        <v>0.3</v>
      </c>
      <c r="F3446" s="54">
        <v>2.2440000000000002</v>
      </c>
      <c r="G3446" s="54">
        <f t="shared" si="58"/>
        <v>0.67320000000000002</v>
      </c>
      <c r="H3446" s="73"/>
      <c r="I3446" s="74"/>
      <c r="J3446" s="155">
        <v>0</v>
      </c>
    </row>
    <row r="3447" spans="1:10" ht="15" hidden="1" thickBot="1" x14ac:dyDescent="0.35">
      <c r="A3447" s="230"/>
      <c r="B3447" s="225"/>
      <c r="C3447" s="36"/>
      <c r="D3447" s="36"/>
      <c r="E3447" s="37"/>
      <c r="F3447" s="54" t="s">
        <v>560</v>
      </c>
      <c r="G3447" s="54" t="str">
        <f t="shared" si="58"/>
        <v/>
      </c>
      <c r="H3447" s="73"/>
      <c r="I3447" s="74"/>
      <c r="J3447" s="155">
        <v>0</v>
      </c>
    </row>
    <row r="3448" spans="1:10" ht="15" hidden="1" thickBot="1" x14ac:dyDescent="0.35">
      <c r="A3448" s="226" t="s">
        <v>1086</v>
      </c>
      <c r="B3448" s="223" t="e">
        <f>INDEX(#REF!,MATCH(Composições!A3448,#REF!,0),2)</f>
        <v>#REF!</v>
      </c>
      <c r="C3448" s="41"/>
      <c r="D3448" s="26" t="e">
        <f>TRIM(INDEX(#REF!,MATCH(Composições!A3448,#REF!,0),1))</f>
        <v>#REF!</v>
      </c>
      <c r="E3448" s="27"/>
      <c r="F3448" s="49" t="s">
        <v>560</v>
      </c>
      <c r="G3448" s="28" t="str">
        <f t="shared" si="58"/>
        <v/>
      </c>
      <c r="H3448" s="29"/>
      <c r="I3448" s="30"/>
      <c r="J3448" s="155">
        <v>0</v>
      </c>
    </row>
    <row r="3449" spans="1:10" ht="15" hidden="1" thickBot="1" x14ac:dyDescent="0.35">
      <c r="A3449" s="229"/>
      <c r="B3449" s="224"/>
      <c r="C3449" s="32"/>
      <c r="D3449" s="32"/>
      <c r="E3449" s="33"/>
      <c r="F3449" s="54" t="s">
        <v>560</v>
      </c>
      <c r="G3449" s="54" t="str">
        <f t="shared" si="58"/>
        <v/>
      </c>
      <c r="H3449" s="73"/>
      <c r="I3449" s="74"/>
      <c r="J3449" s="155">
        <v>0</v>
      </c>
    </row>
    <row r="3450" spans="1:10" ht="15" hidden="1" thickBot="1" x14ac:dyDescent="0.35">
      <c r="A3450" s="229"/>
      <c r="B3450" s="224"/>
      <c r="C3450" s="36" t="s">
        <v>1085</v>
      </c>
      <c r="D3450" s="36" t="s">
        <v>95</v>
      </c>
      <c r="E3450" s="37">
        <v>1.05</v>
      </c>
      <c r="F3450" s="54" t="s">
        <v>560</v>
      </c>
      <c r="G3450" s="54" t="str">
        <f t="shared" si="58"/>
        <v/>
      </c>
      <c r="H3450" s="39">
        <f>SUM(G3450:G3460)</f>
        <v>119.40049375743575</v>
      </c>
      <c r="I3450" s="40"/>
      <c r="J3450" s="155">
        <v>0</v>
      </c>
    </row>
    <row r="3451" spans="1:10" ht="15" hidden="1" thickBot="1" x14ac:dyDescent="0.35">
      <c r="A3451" s="229"/>
      <c r="B3451" s="224"/>
      <c r="C3451" s="36" t="s">
        <v>54</v>
      </c>
      <c r="D3451" s="36" t="s">
        <v>12</v>
      </c>
      <c r="E3451" s="37">
        <f>1.35</f>
        <v>1.35</v>
      </c>
      <c r="F3451" s="54">
        <v>16.923500000000001</v>
      </c>
      <c r="G3451" s="54">
        <f t="shared" si="58"/>
        <v>22.846725000000003</v>
      </c>
      <c r="H3451" s="73"/>
      <c r="I3451" s="74"/>
      <c r="J3451" s="155">
        <v>0</v>
      </c>
    </row>
    <row r="3452" spans="1:10" ht="15" hidden="1" thickBot="1" x14ac:dyDescent="0.35">
      <c r="A3452" s="229"/>
      <c r="B3452" s="224"/>
      <c r="C3452" s="36" t="s">
        <v>22</v>
      </c>
      <c r="D3452" s="36" t="s">
        <v>12</v>
      </c>
      <c r="E3452" s="37">
        <v>0.1</v>
      </c>
      <c r="F3452" s="54">
        <v>20.314999999999998</v>
      </c>
      <c r="G3452" s="54">
        <f t="shared" si="58"/>
        <v>2.0314999999999999</v>
      </c>
      <c r="H3452" s="73"/>
      <c r="I3452" s="74"/>
      <c r="J3452" s="155">
        <v>0</v>
      </c>
    </row>
    <row r="3453" spans="1:10" ht="15" hidden="1" thickBot="1" x14ac:dyDescent="0.35">
      <c r="A3453" s="229"/>
      <c r="B3453" s="224"/>
      <c r="C3453" s="36" t="s">
        <v>23</v>
      </c>
      <c r="D3453" s="36" t="s">
        <v>12</v>
      </c>
      <c r="E3453" s="37">
        <f>0.6+0.1+0.1</f>
        <v>0.79999999999999993</v>
      </c>
      <c r="F3453" s="54">
        <v>14.968499999999999</v>
      </c>
      <c r="G3453" s="54">
        <f t="shared" si="58"/>
        <v>11.974799999999998</v>
      </c>
      <c r="H3453" s="73"/>
      <c r="I3453" s="74"/>
      <c r="J3453" s="155">
        <v>0</v>
      </c>
    </row>
    <row r="3454" spans="1:10" ht="15" hidden="1" thickBot="1" x14ac:dyDescent="0.35">
      <c r="A3454" s="229"/>
      <c r="B3454" s="224"/>
      <c r="C3454" s="36" t="s">
        <v>1933</v>
      </c>
      <c r="D3454" s="36" t="s">
        <v>42</v>
      </c>
      <c r="E3454" s="37">
        <v>4.5</v>
      </c>
      <c r="F3454" s="54">
        <v>1.1729999999999998</v>
      </c>
      <c r="G3454" s="54">
        <f t="shared" si="58"/>
        <v>5.2784999999999993</v>
      </c>
      <c r="H3454" s="73"/>
      <c r="I3454" s="74"/>
      <c r="J3454" s="155">
        <v>0</v>
      </c>
    </row>
    <row r="3455" spans="1:10" ht="15" hidden="1" thickBot="1" x14ac:dyDescent="0.35">
      <c r="A3455" s="229"/>
      <c r="B3455" s="224"/>
      <c r="C3455" s="36" t="s">
        <v>1932</v>
      </c>
      <c r="D3455" s="36" t="s">
        <v>42</v>
      </c>
      <c r="E3455" s="37">
        <v>0.3</v>
      </c>
      <c r="F3455" s="54">
        <v>2.2440000000000002</v>
      </c>
      <c r="G3455" s="54">
        <f t="shared" si="58"/>
        <v>0.67320000000000002</v>
      </c>
      <c r="H3455" s="73"/>
      <c r="I3455" s="74"/>
      <c r="J3455" s="155">
        <v>0</v>
      </c>
    </row>
    <row r="3456" spans="1:10" ht="27" hidden="1" thickBot="1" x14ac:dyDescent="0.35">
      <c r="A3456" s="229"/>
      <c r="B3456" s="224"/>
      <c r="C3456" s="36" t="s">
        <v>1080</v>
      </c>
      <c r="D3456" s="36" t="s">
        <v>292</v>
      </c>
      <c r="E3456" s="37">
        <f>2/(0.4*0.8)</f>
        <v>6.2499999999999991</v>
      </c>
      <c r="F3456" s="54">
        <v>1.3345</v>
      </c>
      <c r="G3456" s="54">
        <f t="shared" si="58"/>
        <v>8.3406249999999993</v>
      </c>
      <c r="H3456" s="73"/>
      <c r="I3456" s="74"/>
      <c r="J3456" s="155">
        <v>0</v>
      </c>
    </row>
    <row r="3457" spans="1:10" ht="15" hidden="1" thickBot="1" x14ac:dyDescent="0.35">
      <c r="A3457" s="229"/>
      <c r="B3457" s="224"/>
      <c r="C3457" s="36" t="s">
        <v>1070</v>
      </c>
      <c r="D3457" s="36" t="s">
        <v>147</v>
      </c>
      <c r="E3457" s="37">
        <f>(2/(0.4*0.8))*(0.016)*1.5</f>
        <v>0.15</v>
      </c>
      <c r="F3457" s="54">
        <v>176.05199999999999</v>
      </c>
      <c r="G3457" s="54">
        <f t="shared" ref="G3457:G3520" si="59">IF(ISNUMBER(F3457),E3457*F3457,"")</f>
        <v>26.407799999999998</v>
      </c>
      <c r="H3457" s="73"/>
      <c r="I3457" s="74"/>
      <c r="J3457" s="155">
        <v>0</v>
      </c>
    </row>
    <row r="3458" spans="1:10" ht="15" hidden="1" thickBot="1" x14ac:dyDescent="0.35">
      <c r="A3458" s="229"/>
      <c r="B3458" s="224"/>
      <c r="C3458" s="36" t="s">
        <v>1071</v>
      </c>
      <c r="D3458" s="36" t="s">
        <v>1072</v>
      </c>
      <c r="E3458" s="37">
        <f>(2/(0.4*0.8))*0.1*1.5</f>
        <v>0.9375</v>
      </c>
      <c r="F3458" s="54">
        <v>44.591000000000001</v>
      </c>
      <c r="G3458" s="54">
        <f t="shared" si="59"/>
        <v>41.804062500000001</v>
      </c>
      <c r="H3458" s="73"/>
      <c r="I3458" s="74"/>
      <c r="J3458" s="155">
        <v>0</v>
      </c>
    </row>
    <row r="3459" spans="1:10" ht="15" hidden="1" thickBot="1" x14ac:dyDescent="0.35">
      <c r="A3459" s="229"/>
      <c r="B3459" s="224"/>
      <c r="C3459" s="36" t="s">
        <v>1081</v>
      </c>
      <c r="D3459" s="36" t="s">
        <v>147</v>
      </c>
      <c r="E3459" s="37">
        <f>2/(0.4*0.8)</f>
        <v>6.2499999999999991</v>
      </c>
      <c r="F3459" s="54" t="s">
        <v>560</v>
      </c>
      <c r="G3459" s="54" t="str">
        <f t="shared" si="59"/>
        <v/>
      </c>
      <c r="H3459" s="73"/>
      <c r="I3459" s="74"/>
      <c r="J3459" s="155">
        <v>0</v>
      </c>
    </row>
    <row r="3460" spans="1:10" ht="40.200000000000003" hidden="1" thickBot="1" x14ac:dyDescent="0.35">
      <c r="A3460" s="229"/>
      <c r="B3460" s="224"/>
      <c r="C3460" s="36" t="s">
        <v>1073</v>
      </c>
      <c r="D3460" s="36" t="s">
        <v>110</v>
      </c>
      <c r="E3460" s="37">
        <v>1E-4</v>
      </c>
      <c r="F3460" s="54">
        <v>432.81257435750001</v>
      </c>
      <c r="G3460" s="54">
        <f t="shared" si="59"/>
        <v>4.3281257435750002E-2</v>
      </c>
      <c r="H3460" s="73"/>
      <c r="I3460" s="74"/>
      <c r="J3460" s="155">
        <v>0</v>
      </c>
    </row>
    <row r="3461" spans="1:10" ht="15" hidden="1" thickBot="1" x14ac:dyDescent="0.35">
      <c r="A3461" s="229"/>
      <c r="B3461" s="224"/>
      <c r="C3461" s="36"/>
      <c r="D3461" s="36"/>
      <c r="E3461" s="37"/>
      <c r="F3461" s="54" t="s">
        <v>560</v>
      </c>
      <c r="G3461" s="54" t="str">
        <f t="shared" si="59"/>
        <v/>
      </c>
      <c r="H3461" s="73"/>
      <c r="I3461" s="74"/>
      <c r="J3461" s="155">
        <v>0</v>
      </c>
    </row>
    <row r="3462" spans="1:10" ht="15" hidden="1" thickBot="1" x14ac:dyDescent="0.35">
      <c r="A3462" s="229"/>
      <c r="B3462" s="224"/>
      <c r="C3462" s="152" t="s">
        <v>1082</v>
      </c>
      <c r="D3462" s="36"/>
      <c r="E3462" s="37"/>
      <c r="F3462" s="54" t="s">
        <v>560</v>
      </c>
      <c r="G3462" s="54" t="str">
        <f t="shared" si="59"/>
        <v/>
      </c>
      <c r="H3462" s="73"/>
      <c r="I3462" s="74"/>
      <c r="J3462" s="155">
        <v>0</v>
      </c>
    </row>
    <row r="3463" spans="1:10" ht="27" hidden="1" thickBot="1" x14ac:dyDescent="0.35">
      <c r="A3463" s="229"/>
      <c r="B3463" s="224"/>
      <c r="C3463" s="152" t="s">
        <v>1083</v>
      </c>
      <c r="D3463" s="36"/>
      <c r="E3463" s="37"/>
      <c r="F3463" s="54" t="s">
        <v>560</v>
      </c>
      <c r="G3463" s="54" t="str">
        <f t="shared" si="59"/>
        <v/>
      </c>
      <c r="H3463" s="73"/>
      <c r="I3463" s="74"/>
      <c r="J3463" s="155">
        <v>0</v>
      </c>
    </row>
    <row r="3464" spans="1:10" ht="15" hidden="1" thickBot="1" x14ac:dyDescent="0.35">
      <c r="A3464" s="230"/>
      <c r="B3464" s="225"/>
      <c r="C3464" s="36"/>
      <c r="D3464" s="36"/>
      <c r="E3464" s="37"/>
      <c r="F3464" s="54" t="s">
        <v>560</v>
      </c>
      <c r="G3464" s="54" t="str">
        <f t="shared" si="59"/>
        <v/>
      </c>
      <c r="H3464" s="73"/>
      <c r="I3464" s="74"/>
      <c r="J3464" s="155">
        <v>0</v>
      </c>
    </row>
    <row r="3465" spans="1:10" ht="15" hidden="1" thickBot="1" x14ac:dyDescent="0.35">
      <c r="A3465" s="226" t="s">
        <v>1087</v>
      </c>
      <c r="B3465" s="223" t="e">
        <f>INDEX(#REF!,MATCH(Composições!A3465,#REF!,0),2)</f>
        <v>#REF!</v>
      </c>
      <c r="C3465" s="41"/>
      <c r="D3465" s="26" t="e">
        <f>TRIM(INDEX(#REF!,MATCH(Composições!A3465,#REF!,0),1))</f>
        <v>#REF!</v>
      </c>
      <c r="E3465" s="27"/>
      <c r="F3465" s="49" t="s">
        <v>560</v>
      </c>
      <c r="G3465" s="28" t="str">
        <f t="shared" si="59"/>
        <v/>
      </c>
      <c r="H3465" s="29"/>
      <c r="I3465" s="30"/>
      <c r="J3465" s="155">
        <v>0</v>
      </c>
    </row>
    <row r="3466" spans="1:10" ht="15" hidden="1" thickBot="1" x14ac:dyDescent="0.35">
      <c r="A3466" s="229"/>
      <c r="B3466" s="224"/>
      <c r="C3466" s="32"/>
      <c r="D3466" s="32"/>
      <c r="E3466" s="33"/>
      <c r="F3466" s="54" t="s">
        <v>560</v>
      </c>
      <c r="G3466" s="54" t="str">
        <f t="shared" si="59"/>
        <v/>
      </c>
      <c r="H3466" s="73"/>
      <c r="I3466" s="74"/>
      <c r="J3466" s="155">
        <v>0</v>
      </c>
    </row>
    <row r="3467" spans="1:10" ht="15" hidden="1" thickBot="1" x14ac:dyDescent="0.35">
      <c r="A3467" s="229"/>
      <c r="B3467" s="224"/>
      <c r="C3467" s="36" t="s">
        <v>1085</v>
      </c>
      <c r="D3467" s="36" t="s">
        <v>95</v>
      </c>
      <c r="E3467" s="37">
        <v>1.05</v>
      </c>
      <c r="F3467" s="54" t="s">
        <v>560</v>
      </c>
      <c r="G3467" s="54" t="str">
        <f t="shared" si="59"/>
        <v/>
      </c>
      <c r="H3467" s="39">
        <f>SUM(G3467:G3472)</f>
        <v>28.508293757435752</v>
      </c>
      <c r="I3467" s="40"/>
      <c r="J3467" s="155">
        <v>0</v>
      </c>
    </row>
    <row r="3468" spans="1:10" ht="15" hidden="1" thickBot="1" x14ac:dyDescent="0.35">
      <c r="A3468" s="229"/>
      <c r="B3468" s="224"/>
      <c r="C3468" s="36" t="s">
        <v>54</v>
      </c>
      <c r="D3468" s="36" t="s">
        <v>12</v>
      </c>
      <c r="E3468" s="37">
        <v>0.25</v>
      </c>
      <c r="F3468" s="54">
        <v>16.923500000000001</v>
      </c>
      <c r="G3468" s="54">
        <f t="shared" si="59"/>
        <v>4.2308750000000002</v>
      </c>
      <c r="H3468" s="73"/>
      <c r="I3468" s="74"/>
      <c r="J3468" s="155">
        <v>0</v>
      </c>
    </row>
    <row r="3469" spans="1:10" ht="15" hidden="1" thickBot="1" x14ac:dyDescent="0.35">
      <c r="A3469" s="229"/>
      <c r="B3469" s="224"/>
      <c r="C3469" s="36" t="s">
        <v>23</v>
      </c>
      <c r="D3469" s="36" t="s">
        <v>12</v>
      </c>
      <c r="E3469" s="37">
        <v>0.1</v>
      </c>
      <c r="F3469" s="54">
        <v>14.968499999999999</v>
      </c>
      <c r="G3469" s="54">
        <f t="shared" si="59"/>
        <v>1.49685</v>
      </c>
      <c r="H3469" s="73"/>
      <c r="I3469" s="74"/>
      <c r="J3469" s="155">
        <v>0</v>
      </c>
    </row>
    <row r="3470" spans="1:10" ht="15" hidden="1" thickBot="1" x14ac:dyDescent="0.35">
      <c r="A3470" s="229"/>
      <c r="B3470" s="224"/>
      <c r="C3470" s="36" t="s">
        <v>1070</v>
      </c>
      <c r="D3470" s="36" t="s">
        <v>147</v>
      </c>
      <c r="E3470" s="37">
        <f>(2/(0.4*0.8))*0.016/2</f>
        <v>4.9999999999999996E-2</v>
      </c>
      <c r="F3470" s="54">
        <v>176.05199999999999</v>
      </c>
      <c r="G3470" s="54">
        <f t="shared" si="59"/>
        <v>8.8025999999999982</v>
      </c>
      <c r="H3470" s="73"/>
      <c r="I3470" s="74"/>
      <c r="J3470" s="155">
        <v>0</v>
      </c>
    </row>
    <row r="3471" spans="1:10" ht="15" hidden="1" thickBot="1" x14ac:dyDescent="0.35">
      <c r="A3471" s="229"/>
      <c r="B3471" s="224"/>
      <c r="C3471" s="36" t="s">
        <v>1071</v>
      </c>
      <c r="D3471" s="36" t="s">
        <v>1072</v>
      </c>
      <c r="E3471" s="37">
        <f>(2/(0.4*0.8))*0.1/2</f>
        <v>0.3125</v>
      </c>
      <c r="F3471" s="54">
        <v>44.591000000000001</v>
      </c>
      <c r="G3471" s="54">
        <f t="shared" si="59"/>
        <v>13.934687500000001</v>
      </c>
      <c r="H3471" s="73"/>
      <c r="I3471" s="74"/>
      <c r="J3471" s="155">
        <v>0</v>
      </c>
    </row>
    <row r="3472" spans="1:10" ht="40.200000000000003" hidden="1" thickBot="1" x14ac:dyDescent="0.35">
      <c r="A3472" s="229"/>
      <c r="B3472" s="224"/>
      <c r="C3472" s="36" t="s">
        <v>1073</v>
      </c>
      <c r="D3472" s="36" t="s">
        <v>110</v>
      </c>
      <c r="E3472" s="37">
        <v>1E-4</v>
      </c>
      <c r="F3472" s="54">
        <v>432.81257435750001</v>
      </c>
      <c r="G3472" s="54">
        <f t="shared" si="59"/>
        <v>4.3281257435750002E-2</v>
      </c>
      <c r="H3472" s="73"/>
      <c r="I3472" s="74"/>
      <c r="J3472" s="155">
        <v>0</v>
      </c>
    </row>
    <row r="3473" spans="1:10" ht="15" hidden="1" thickBot="1" x14ac:dyDescent="0.35">
      <c r="A3473" s="229"/>
      <c r="B3473" s="224"/>
      <c r="C3473" s="36"/>
      <c r="D3473" s="36"/>
      <c r="E3473" s="37"/>
      <c r="F3473" s="54" t="s">
        <v>560</v>
      </c>
      <c r="G3473" s="54" t="str">
        <f t="shared" si="59"/>
        <v/>
      </c>
      <c r="H3473" s="73"/>
      <c r="I3473" s="74"/>
      <c r="J3473" s="155">
        <v>0</v>
      </c>
    </row>
    <row r="3474" spans="1:10" ht="15" hidden="1" thickBot="1" x14ac:dyDescent="0.35">
      <c r="A3474" s="229"/>
      <c r="B3474" s="224"/>
      <c r="C3474" s="152" t="s">
        <v>1088</v>
      </c>
      <c r="D3474" s="36"/>
      <c r="E3474" s="37"/>
      <c r="F3474" s="54" t="s">
        <v>560</v>
      </c>
      <c r="G3474" s="54" t="str">
        <f t="shared" si="59"/>
        <v/>
      </c>
      <c r="H3474" s="73"/>
      <c r="I3474" s="74"/>
      <c r="J3474" s="155">
        <v>0</v>
      </c>
    </row>
    <row r="3475" spans="1:10" ht="27" hidden="1" thickBot="1" x14ac:dyDescent="0.35">
      <c r="A3475" s="229"/>
      <c r="B3475" s="224"/>
      <c r="C3475" s="152" t="s">
        <v>1083</v>
      </c>
      <c r="D3475" s="36"/>
      <c r="E3475" s="37"/>
      <c r="F3475" s="54" t="s">
        <v>560</v>
      </c>
      <c r="G3475" s="54" t="str">
        <f t="shared" si="59"/>
        <v/>
      </c>
      <c r="H3475" s="73"/>
      <c r="I3475" s="74"/>
      <c r="J3475" s="155">
        <v>0</v>
      </c>
    </row>
    <row r="3476" spans="1:10" ht="15" hidden="1" thickBot="1" x14ac:dyDescent="0.35">
      <c r="A3476" s="230"/>
      <c r="B3476" s="225"/>
      <c r="C3476" s="36"/>
      <c r="D3476" s="36"/>
      <c r="E3476" s="37"/>
      <c r="F3476" s="54" t="s">
        <v>560</v>
      </c>
      <c r="G3476" s="54" t="str">
        <f t="shared" si="59"/>
        <v/>
      </c>
      <c r="H3476" s="73"/>
      <c r="I3476" s="74"/>
      <c r="J3476" s="155">
        <v>0</v>
      </c>
    </row>
    <row r="3477" spans="1:10" ht="15" hidden="1" thickBot="1" x14ac:dyDescent="0.35">
      <c r="A3477" s="226" t="s">
        <v>1089</v>
      </c>
      <c r="B3477" s="223" t="e">
        <f>INDEX(#REF!,MATCH(Composições!A3477,#REF!,0),2)</f>
        <v>#REF!</v>
      </c>
      <c r="C3477" s="41"/>
      <c r="D3477" s="26" t="e">
        <f>TRIM(INDEX(#REF!,MATCH(Composições!A3477,#REF!,0),1))</f>
        <v>#REF!</v>
      </c>
      <c r="E3477" s="27"/>
      <c r="F3477" s="49" t="s">
        <v>560</v>
      </c>
      <c r="G3477" s="28" t="str">
        <f t="shared" si="59"/>
        <v/>
      </c>
      <c r="H3477" s="29"/>
      <c r="I3477" s="30"/>
      <c r="J3477" s="155">
        <v>0</v>
      </c>
    </row>
    <row r="3478" spans="1:10" ht="15" hidden="1" thickBot="1" x14ac:dyDescent="0.35">
      <c r="A3478" s="229"/>
      <c r="B3478" s="224"/>
      <c r="C3478" s="32"/>
      <c r="D3478" s="32"/>
      <c r="E3478" s="33"/>
      <c r="F3478" s="54" t="s">
        <v>560</v>
      </c>
      <c r="G3478" s="54" t="str">
        <f t="shared" si="59"/>
        <v/>
      </c>
      <c r="H3478" s="73"/>
      <c r="I3478" s="74"/>
      <c r="J3478" s="155">
        <v>0</v>
      </c>
    </row>
    <row r="3479" spans="1:10" ht="15" hidden="1" thickBot="1" x14ac:dyDescent="0.35">
      <c r="A3479" s="229"/>
      <c r="B3479" s="224"/>
      <c r="C3479" s="36" t="s">
        <v>54</v>
      </c>
      <c r="D3479" s="36" t="s">
        <v>12</v>
      </c>
      <c r="E3479" s="37">
        <v>1.35</v>
      </c>
      <c r="F3479" s="54">
        <v>16.923500000000001</v>
      </c>
      <c r="G3479" s="54">
        <f t="shared" si="59"/>
        <v>22.846725000000003</v>
      </c>
      <c r="H3479" s="39">
        <f>SUM(G3479:G3482)</f>
        <v>37.779525000000007</v>
      </c>
      <c r="I3479" s="40"/>
      <c r="J3479" s="155">
        <v>0</v>
      </c>
    </row>
    <row r="3480" spans="1:10" ht="15" hidden="1" thickBot="1" x14ac:dyDescent="0.35">
      <c r="A3480" s="229"/>
      <c r="B3480" s="224"/>
      <c r="C3480" s="36" t="s">
        <v>23</v>
      </c>
      <c r="D3480" s="36" t="s">
        <v>12</v>
      </c>
      <c r="E3480" s="37">
        <v>0.6</v>
      </c>
      <c r="F3480" s="54">
        <v>14.968499999999999</v>
      </c>
      <c r="G3480" s="54">
        <f t="shared" si="59"/>
        <v>8.9810999999999996</v>
      </c>
      <c r="H3480" s="73"/>
      <c r="I3480" s="74"/>
      <c r="J3480" s="155">
        <v>0</v>
      </c>
    </row>
    <row r="3481" spans="1:10" ht="15" hidden="1" thickBot="1" x14ac:dyDescent="0.35">
      <c r="A3481" s="229"/>
      <c r="B3481" s="224"/>
      <c r="C3481" s="36" t="s">
        <v>1933</v>
      </c>
      <c r="D3481" s="36" t="s">
        <v>42</v>
      </c>
      <c r="E3481" s="37">
        <v>4.5</v>
      </c>
      <c r="F3481" s="54">
        <v>1.1729999999999998</v>
      </c>
      <c r="G3481" s="54">
        <f t="shared" si="59"/>
        <v>5.2784999999999993</v>
      </c>
      <c r="H3481" s="73"/>
      <c r="I3481" s="74"/>
      <c r="J3481" s="155">
        <v>0</v>
      </c>
    </row>
    <row r="3482" spans="1:10" ht="15" hidden="1" thickBot="1" x14ac:dyDescent="0.35">
      <c r="A3482" s="229"/>
      <c r="B3482" s="224"/>
      <c r="C3482" s="36" t="s">
        <v>1932</v>
      </c>
      <c r="D3482" s="36" t="s">
        <v>42</v>
      </c>
      <c r="E3482" s="37">
        <v>0.3</v>
      </c>
      <c r="F3482" s="54">
        <v>2.2440000000000002</v>
      </c>
      <c r="G3482" s="54">
        <f t="shared" si="59"/>
        <v>0.67320000000000002</v>
      </c>
      <c r="H3482" s="73"/>
      <c r="I3482" s="74"/>
      <c r="J3482" s="155">
        <v>0</v>
      </c>
    </row>
    <row r="3483" spans="1:10" ht="15" hidden="1" thickBot="1" x14ac:dyDescent="0.35">
      <c r="A3483" s="230"/>
      <c r="B3483" s="225"/>
      <c r="C3483" s="36"/>
      <c r="D3483" s="36"/>
      <c r="E3483" s="37"/>
      <c r="F3483" s="54" t="s">
        <v>560</v>
      </c>
      <c r="G3483" s="54" t="str">
        <f t="shared" si="59"/>
        <v/>
      </c>
      <c r="H3483" s="73"/>
      <c r="I3483" s="74"/>
      <c r="J3483" s="155">
        <v>0</v>
      </c>
    </row>
    <row r="3484" spans="1:10" ht="15" hidden="1" thickBot="1" x14ac:dyDescent="0.35">
      <c r="A3484" s="226" t="s">
        <v>1090</v>
      </c>
      <c r="B3484" s="223" t="e">
        <f>INDEX(#REF!,MATCH(Composições!A3484,#REF!,0),2)</f>
        <v>#REF!</v>
      </c>
      <c r="C3484" s="41"/>
      <c r="D3484" s="26" t="e">
        <f>TRIM(INDEX(#REF!,MATCH(Composições!A3484,#REF!,0),1))</f>
        <v>#REF!</v>
      </c>
      <c r="E3484" s="27"/>
      <c r="F3484" s="49" t="s">
        <v>560</v>
      </c>
      <c r="G3484" s="28" t="str">
        <f t="shared" si="59"/>
        <v/>
      </c>
      <c r="H3484" s="29"/>
      <c r="I3484" s="30"/>
      <c r="J3484" s="155">
        <v>0</v>
      </c>
    </row>
    <row r="3485" spans="1:10" ht="15" hidden="1" thickBot="1" x14ac:dyDescent="0.35">
      <c r="A3485" s="229"/>
      <c r="B3485" s="224"/>
      <c r="C3485" s="32"/>
      <c r="D3485" s="32"/>
      <c r="E3485" s="33"/>
      <c r="F3485" s="54" t="s">
        <v>560</v>
      </c>
      <c r="G3485" s="54" t="str">
        <f t="shared" si="59"/>
        <v/>
      </c>
      <c r="H3485" s="73"/>
      <c r="I3485" s="74"/>
      <c r="J3485" s="155">
        <v>0</v>
      </c>
    </row>
    <row r="3486" spans="1:10" ht="15" hidden="1" thickBot="1" x14ac:dyDescent="0.35">
      <c r="A3486" s="229"/>
      <c r="B3486" s="224"/>
      <c r="C3486" s="36" t="s">
        <v>54</v>
      </c>
      <c r="D3486" s="36" t="s">
        <v>12</v>
      </c>
      <c r="E3486" s="37">
        <f>1.35</f>
        <v>1.35</v>
      </c>
      <c r="F3486" s="54">
        <v>16.923500000000001</v>
      </c>
      <c r="G3486" s="54">
        <f t="shared" si="59"/>
        <v>22.846725000000003</v>
      </c>
      <c r="H3486" s="39">
        <f>SUM(G3486:G3495)</f>
        <v>119.40049375743575</v>
      </c>
      <c r="I3486" s="40"/>
      <c r="J3486" s="155">
        <v>0</v>
      </c>
    </row>
    <row r="3487" spans="1:10" ht="15" hidden="1" thickBot="1" x14ac:dyDescent="0.35">
      <c r="A3487" s="229"/>
      <c r="B3487" s="224"/>
      <c r="C3487" s="36" t="s">
        <v>22</v>
      </c>
      <c r="D3487" s="36" t="s">
        <v>12</v>
      </c>
      <c r="E3487" s="37">
        <v>0.1</v>
      </c>
      <c r="F3487" s="54">
        <v>20.314999999999998</v>
      </c>
      <c r="G3487" s="54">
        <f t="shared" si="59"/>
        <v>2.0314999999999999</v>
      </c>
      <c r="H3487" s="73"/>
      <c r="I3487" s="74"/>
      <c r="J3487" s="155">
        <v>0</v>
      </c>
    </row>
    <row r="3488" spans="1:10" ht="15" hidden="1" thickBot="1" x14ac:dyDescent="0.35">
      <c r="A3488" s="229"/>
      <c r="B3488" s="224"/>
      <c r="C3488" s="36" t="s">
        <v>23</v>
      </c>
      <c r="D3488" s="36" t="s">
        <v>12</v>
      </c>
      <c r="E3488" s="37">
        <f>0.6+0.1+0.1</f>
        <v>0.79999999999999993</v>
      </c>
      <c r="F3488" s="54">
        <v>14.968499999999999</v>
      </c>
      <c r="G3488" s="54">
        <f t="shared" si="59"/>
        <v>11.974799999999998</v>
      </c>
      <c r="H3488" s="73"/>
      <c r="I3488" s="74"/>
      <c r="J3488" s="155">
        <v>0</v>
      </c>
    </row>
    <row r="3489" spans="1:10" ht="15" hidden="1" thickBot="1" x14ac:dyDescent="0.35">
      <c r="A3489" s="229"/>
      <c r="B3489" s="224"/>
      <c r="C3489" s="36" t="s">
        <v>1933</v>
      </c>
      <c r="D3489" s="36" t="s">
        <v>42</v>
      </c>
      <c r="E3489" s="37">
        <v>4.5</v>
      </c>
      <c r="F3489" s="54">
        <v>1.1729999999999998</v>
      </c>
      <c r="G3489" s="54">
        <f t="shared" si="59"/>
        <v>5.2784999999999993</v>
      </c>
      <c r="H3489" s="73"/>
      <c r="I3489" s="74"/>
      <c r="J3489" s="155">
        <v>0</v>
      </c>
    </row>
    <row r="3490" spans="1:10" ht="15" hidden="1" thickBot="1" x14ac:dyDescent="0.35">
      <c r="A3490" s="229"/>
      <c r="B3490" s="224"/>
      <c r="C3490" s="36" t="s">
        <v>1932</v>
      </c>
      <c r="D3490" s="36" t="s">
        <v>42</v>
      </c>
      <c r="E3490" s="37">
        <v>0.3</v>
      </c>
      <c r="F3490" s="54">
        <v>2.2440000000000002</v>
      </c>
      <c r="G3490" s="54">
        <f t="shared" si="59"/>
        <v>0.67320000000000002</v>
      </c>
      <c r="H3490" s="73"/>
      <c r="I3490" s="74"/>
      <c r="J3490" s="155">
        <v>0</v>
      </c>
    </row>
    <row r="3491" spans="1:10" ht="27" hidden="1" thickBot="1" x14ac:dyDescent="0.35">
      <c r="A3491" s="229"/>
      <c r="B3491" s="224"/>
      <c r="C3491" s="36" t="s">
        <v>1080</v>
      </c>
      <c r="D3491" s="36" t="s">
        <v>292</v>
      </c>
      <c r="E3491" s="37">
        <f>2/(0.4*0.8)</f>
        <v>6.2499999999999991</v>
      </c>
      <c r="F3491" s="54">
        <v>1.3345</v>
      </c>
      <c r="G3491" s="54">
        <f t="shared" si="59"/>
        <v>8.3406249999999993</v>
      </c>
      <c r="H3491" s="73"/>
      <c r="I3491" s="74"/>
      <c r="J3491" s="155">
        <v>0</v>
      </c>
    </row>
    <row r="3492" spans="1:10" ht="15" hidden="1" thickBot="1" x14ac:dyDescent="0.35">
      <c r="A3492" s="229"/>
      <c r="B3492" s="224"/>
      <c r="C3492" s="36" t="s">
        <v>1070</v>
      </c>
      <c r="D3492" s="36" t="s">
        <v>147</v>
      </c>
      <c r="E3492" s="37">
        <f>(2/(0.4*0.8))*(0.016)*1.5</f>
        <v>0.15</v>
      </c>
      <c r="F3492" s="54">
        <v>176.05199999999999</v>
      </c>
      <c r="G3492" s="54">
        <f t="shared" si="59"/>
        <v>26.407799999999998</v>
      </c>
      <c r="H3492" s="73"/>
      <c r="I3492" s="74"/>
      <c r="J3492" s="155">
        <v>0</v>
      </c>
    </row>
    <row r="3493" spans="1:10" ht="15" hidden="1" thickBot="1" x14ac:dyDescent="0.35">
      <c r="A3493" s="229"/>
      <c r="B3493" s="224"/>
      <c r="C3493" s="36" t="s">
        <v>1071</v>
      </c>
      <c r="D3493" s="36" t="s">
        <v>1072</v>
      </c>
      <c r="E3493" s="37">
        <f>(2/(0.4*0.8))*0.1*1.5</f>
        <v>0.9375</v>
      </c>
      <c r="F3493" s="54">
        <v>44.591000000000001</v>
      </c>
      <c r="G3493" s="54">
        <f t="shared" si="59"/>
        <v>41.804062500000001</v>
      </c>
      <c r="H3493" s="73"/>
      <c r="I3493" s="74"/>
      <c r="J3493" s="155">
        <v>0</v>
      </c>
    </row>
    <row r="3494" spans="1:10" ht="15" hidden="1" thickBot="1" x14ac:dyDescent="0.35">
      <c r="A3494" s="229"/>
      <c r="B3494" s="224"/>
      <c r="C3494" s="36" t="s">
        <v>1081</v>
      </c>
      <c r="D3494" s="36" t="s">
        <v>147</v>
      </c>
      <c r="E3494" s="37">
        <f>2/(0.4*0.8)</f>
        <v>6.2499999999999991</v>
      </c>
      <c r="F3494" s="54" t="s">
        <v>560</v>
      </c>
      <c r="G3494" s="54" t="str">
        <f t="shared" si="59"/>
        <v/>
      </c>
      <c r="H3494" s="73"/>
      <c r="I3494" s="74"/>
      <c r="J3494" s="155">
        <v>0</v>
      </c>
    </row>
    <row r="3495" spans="1:10" ht="40.200000000000003" hidden="1" thickBot="1" x14ac:dyDescent="0.35">
      <c r="A3495" s="229"/>
      <c r="B3495" s="224"/>
      <c r="C3495" s="36" t="s">
        <v>1073</v>
      </c>
      <c r="D3495" s="36" t="s">
        <v>110</v>
      </c>
      <c r="E3495" s="37">
        <v>1E-4</v>
      </c>
      <c r="F3495" s="54">
        <v>432.81257435750001</v>
      </c>
      <c r="G3495" s="54">
        <f t="shared" si="59"/>
        <v>4.3281257435750002E-2</v>
      </c>
      <c r="H3495" s="73"/>
      <c r="I3495" s="74"/>
      <c r="J3495" s="155">
        <v>0</v>
      </c>
    </row>
    <row r="3496" spans="1:10" ht="15" hidden="1" thickBot="1" x14ac:dyDescent="0.35">
      <c r="A3496" s="229"/>
      <c r="B3496" s="224"/>
      <c r="C3496" s="36"/>
      <c r="D3496" s="36"/>
      <c r="E3496" s="37"/>
      <c r="F3496" s="54" t="s">
        <v>560</v>
      </c>
      <c r="G3496" s="54" t="str">
        <f t="shared" si="59"/>
        <v/>
      </c>
      <c r="H3496" s="73"/>
      <c r="I3496" s="74"/>
      <c r="J3496" s="155">
        <v>0</v>
      </c>
    </row>
    <row r="3497" spans="1:10" ht="15" hidden="1" thickBot="1" x14ac:dyDescent="0.35">
      <c r="A3497" s="229"/>
      <c r="B3497" s="224"/>
      <c r="C3497" s="152" t="s">
        <v>1082</v>
      </c>
      <c r="D3497" s="36"/>
      <c r="E3497" s="37"/>
      <c r="F3497" s="54" t="s">
        <v>560</v>
      </c>
      <c r="G3497" s="54" t="str">
        <f t="shared" si="59"/>
        <v/>
      </c>
      <c r="H3497" s="73"/>
      <c r="I3497" s="74"/>
      <c r="J3497" s="155">
        <v>0</v>
      </c>
    </row>
    <row r="3498" spans="1:10" ht="27" hidden="1" thickBot="1" x14ac:dyDescent="0.35">
      <c r="A3498" s="229"/>
      <c r="B3498" s="224"/>
      <c r="C3498" s="152" t="s">
        <v>1083</v>
      </c>
      <c r="D3498" s="36"/>
      <c r="E3498" s="37"/>
      <c r="F3498" s="54" t="s">
        <v>560</v>
      </c>
      <c r="G3498" s="54" t="str">
        <f t="shared" si="59"/>
        <v/>
      </c>
      <c r="H3498" s="73"/>
      <c r="I3498" s="74"/>
      <c r="J3498" s="155">
        <v>0</v>
      </c>
    </row>
    <row r="3499" spans="1:10" ht="15" hidden="1" thickBot="1" x14ac:dyDescent="0.35">
      <c r="A3499" s="230"/>
      <c r="B3499" s="225"/>
      <c r="C3499" s="36"/>
      <c r="D3499" s="36"/>
      <c r="E3499" s="37"/>
      <c r="F3499" s="54" t="s">
        <v>560</v>
      </c>
      <c r="G3499" s="54" t="str">
        <f t="shared" si="59"/>
        <v/>
      </c>
      <c r="H3499" s="73"/>
      <c r="I3499" s="74"/>
      <c r="J3499" s="155">
        <v>0</v>
      </c>
    </row>
    <row r="3500" spans="1:10" ht="15" hidden="1" thickBot="1" x14ac:dyDescent="0.35">
      <c r="A3500" s="226" t="s">
        <v>1091</v>
      </c>
      <c r="B3500" s="223" t="e">
        <f>INDEX(#REF!,MATCH(Composições!A3500,#REF!,0),2)</f>
        <v>#REF!</v>
      </c>
      <c r="C3500" s="41"/>
      <c r="D3500" s="26" t="e">
        <f>TRIM(INDEX(#REF!,MATCH(Composições!A3500,#REF!,0),1))</f>
        <v>#REF!</v>
      </c>
      <c r="E3500" s="27"/>
      <c r="F3500" s="49" t="s">
        <v>560</v>
      </c>
      <c r="G3500" s="28" t="str">
        <f t="shared" si="59"/>
        <v/>
      </c>
      <c r="H3500" s="29"/>
      <c r="I3500" s="30"/>
      <c r="J3500" s="155">
        <v>0</v>
      </c>
    </row>
    <row r="3501" spans="1:10" ht="15" hidden="1" thickBot="1" x14ac:dyDescent="0.35">
      <c r="A3501" s="227"/>
      <c r="B3501" s="224"/>
      <c r="C3501" s="32"/>
      <c r="D3501" s="32"/>
      <c r="E3501" s="33"/>
      <c r="F3501" s="54" t="s">
        <v>560</v>
      </c>
      <c r="G3501" s="54" t="str">
        <f t="shared" si="59"/>
        <v/>
      </c>
      <c r="H3501" s="73"/>
      <c r="I3501" s="74"/>
      <c r="J3501" s="155">
        <v>0</v>
      </c>
    </row>
    <row r="3502" spans="1:10" ht="15" hidden="1" thickBot="1" x14ac:dyDescent="0.35">
      <c r="A3502" s="227"/>
      <c r="B3502" s="224"/>
      <c r="C3502" s="36" t="s">
        <v>101</v>
      </c>
      <c r="D3502" s="36" t="s">
        <v>12</v>
      </c>
      <c r="E3502" s="37">
        <v>0.4</v>
      </c>
      <c r="F3502" s="54">
        <v>21.156500000000001</v>
      </c>
      <c r="G3502" s="54">
        <f t="shared" si="59"/>
        <v>8.4626000000000001</v>
      </c>
      <c r="H3502" s="39">
        <f>SUM(G3502:G3504)</f>
        <v>10.157500000000001</v>
      </c>
      <c r="I3502" s="40"/>
      <c r="J3502" s="155">
        <v>0</v>
      </c>
    </row>
    <row r="3503" spans="1:10" ht="15" hidden="1" thickBot="1" x14ac:dyDescent="0.35">
      <c r="A3503" s="227"/>
      <c r="B3503" s="224"/>
      <c r="C3503" s="36" t="s">
        <v>1092</v>
      </c>
      <c r="D3503" s="36" t="s">
        <v>12</v>
      </c>
      <c r="E3503" s="37">
        <v>0.1</v>
      </c>
      <c r="F3503" s="54">
        <v>16.949000000000002</v>
      </c>
      <c r="G3503" s="54">
        <f t="shared" si="59"/>
        <v>1.6949000000000003</v>
      </c>
      <c r="H3503" s="73"/>
      <c r="I3503" s="74"/>
      <c r="J3503" s="155">
        <v>0</v>
      </c>
    </row>
    <row r="3504" spans="1:10" ht="15" hidden="1" thickBot="1" x14ac:dyDescent="0.35">
      <c r="A3504" s="227"/>
      <c r="B3504" s="224"/>
      <c r="C3504" s="36" t="s">
        <v>1093</v>
      </c>
      <c r="D3504" s="50" t="s">
        <v>103</v>
      </c>
      <c r="E3504" s="37">
        <v>0.33</v>
      </c>
      <c r="F3504" s="54">
        <v>0</v>
      </c>
      <c r="G3504" s="54">
        <f t="shared" si="59"/>
        <v>0</v>
      </c>
      <c r="H3504" s="73"/>
      <c r="I3504" s="74"/>
      <c r="J3504" s="155">
        <v>0</v>
      </c>
    </row>
    <row r="3505" spans="1:10" ht="15" hidden="1" thickBot="1" x14ac:dyDescent="0.35">
      <c r="A3505" s="228"/>
      <c r="B3505" s="225"/>
      <c r="C3505" s="36"/>
      <c r="D3505" s="36"/>
      <c r="E3505" s="37"/>
      <c r="F3505" s="54" t="s">
        <v>560</v>
      </c>
      <c r="G3505" s="54" t="str">
        <f t="shared" si="59"/>
        <v/>
      </c>
      <c r="H3505" s="73"/>
      <c r="I3505" s="74"/>
      <c r="J3505" s="155">
        <v>0</v>
      </c>
    </row>
    <row r="3506" spans="1:10" ht="15" hidden="1" thickBot="1" x14ac:dyDescent="0.35">
      <c r="A3506" s="226" t="s">
        <v>1094</v>
      </c>
      <c r="B3506" s="223" t="e">
        <f>INDEX(#REF!,MATCH(Composições!A3506,#REF!,0),2)</f>
        <v>#REF!</v>
      </c>
      <c r="C3506" s="41"/>
      <c r="D3506" s="26" t="e">
        <f>TRIM(INDEX(#REF!,MATCH(Composições!A3506,#REF!,0),1))</f>
        <v>#REF!</v>
      </c>
      <c r="E3506" s="27"/>
      <c r="F3506" s="49" t="s">
        <v>560</v>
      </c>
      <c r="G3506" s="28" t="str">
        <f t="shared" si="59"/>
        <v/>
      </c>
      <c r="H3506" s="29"/>
      <c r="I3506" s="30"/>
      <c r="J3506" s="155">
        <v>0</v>
      </c>
    </row>
    <row r="3507" spans="1:10" ht="15" hidden="1" thickBot="1" x14ac:dyDescent="0.35">
      <c r="A3507" s="227"/>
      <c r="B3507" s="224"/>
      <c r="C3507" s="32"/>
      <c r="D3507" s="32"/>
      <c r="E3507" s="33"/>
      <c r="F3507" s="54" t="s">
        <v>560</v>
      </c>
      <c r="G3507" s="54" t="str">
        <f t="shared" si="59"/>
        <v/>
      </c>
      <c r="H3507" s="73"/>
      <c r="I3507" s="74"/>
      <c r="J3507" s="155">
        <v>0</v>
      </c>
    </row>
    <row r="3508" spans="1:10" ht="15" hidden="1" thickBot="1" x14ac:dyDescent="0.35">
      <c r="A3508" s="227"/>
      <c r="B3508" s="224"/>
      <c r="C3508" s="36" t="s">
        <v>54</v>
      </c>
      <c r="D3508" s="36" t="s">
        <v>12</v>
      </c>
      <c r="E3508" s="37">
        <v>0.6</v>
      </c>
      <c r="F3508" s="54">
        <v>16.923500000000001</v>
      </c>
      <c r="G3508" s="54">
        <f t="shared" si="59"/>
        <v>10.1541</v>
      </c>
      <c r="H3508" s="39">
        <f>SUM(G3508:G3510)</f>
        <v>16.141500000000001</v>
      </c>
      <c r="I3508" s="40"/>
      <c r="J3508" s="155">
        <v>0</v>
      </c>
    </row>
    <row r="3509" spans="1:10" ht="15" hidden="1" thickBot="1" x14ac:dyDescent="0.35">
      <c r="A3509" s="227"/>
      <c r="B3509" s="224"/>
      <c r="C3509" s="36" t="s">
        <v>23</v>
      </c>
      <c r="D3509" s="36" t="s">
        <v>12</v>
      </c>
      <c r="E3509" s="37">
        <v>0.4</v>
      </c>
      <c r="F3509" s="54">
        <v>14.968499999999999</v>
      </c>
      <c r="G3509" s="54">
        <f t="shared" si="59"/>
        <v>5.9874000000000001</v>
      </c>
      <c r="H3509" s="73"/>
      <c r="I3509" s="74"/>
      <c r="J3509" s="155">
        <v>0</v>
      </c>
    </row>
    <row r="3510" spans="1:10" ht="15" hidden="1" thickBot="1" x14ac:dyDescent="0.35">
      <c r="A3510" s="227"/>
      <c r="B3510" s="224"/>
      <c r="C3510" s="36" t="s">
        <v>1095</v>
      </c>
      <c r="D3510" s="47" t="s">
        <v>93</v>
      </c>
      <c r="E3510" s="37">
        <v>1</v>
      </c>
      <c r="F3510" s="54" t="s">
        <v>560</v>
      </c>
      <c r="G3510" s="54" t="str">
        <f t="shared" si="59"/>
        <v/>
      </c>
      <c r="H3510" s="73"/>
      <c r="I3510" s="74"/>
      <c r="J3510" s="155">
        <v>0</v>
      </c>
    </row>
    <row r="3511" spans="1:10" ht="15" hidden="1" thickBot="1" x14ac:dyDescent="0.35">
      <c r="A3511" s="228"/>
      <c r="B3511" s="225"/>
      <c r="C3511" s="36"/>
      <c r="D3511" s="36"/>
      <c r="E3511" s="37"/>
      <c r="F3511" s="54" t="s">
        <v>560</v>
      </c>
      <c r="G3511" s="54" t="str">
        <f t="shared" si="59"/>
        <v/>
      </c>
      <c r="H3511" s="73"/>
      <c r="I3511" s="74"/>
      <c r="J3511" s="155">
        <v>0</v>
      </c>
    </row>
    <row r="3512" spans="1:10" ht="15" hidden="1" thickBot="1" x14ac:dyDescent="0.35">
      <c r="A3512" s="226" t="s">
        <v>1096</v>
      </c>
      <c r="B3512" s="223" t="e">
        <f>INDEX(#REF!,MATCH(Composições!A3512,#REF!,0),2)</f>
        <v>#REF!</v>
      </c>
      <c r="C3512" s="41"/>
      <c r="D3512" s="26" t="e">
        <f>TRIM(INDEX(#REF!,MATCH(Composições!A3512,#REF!,0),1))</f>
        <v>#REF!</v>
      </c>
      <c r="E3512" s="27"/>
      <c r="F3512" s="49" t="s">
        <v>560</v>
      </c>
      <c r="G3512" s="28" t="str">
        <f t="shared" si="59"/>
        <v/>
      </c>
      <c r="H3512" s="29"/>
      <c r="I3512" s="30"/>
      <c r="J3512" s="155">
        <v>0</v>
      </c>
    </row>
    <row r="3513" spans="1:10" ht="15" hidden="1" thickBot="1" x14ac:dyDescent="0.35">
      <c r="A3513" s="227"/>
      <c r="B3513" s="224"/>
      <c r="C3513" s="32"/>
      <c r="D3513" s="32"/>
      <c r="E3513" s="33"/>
      <c r="F3513" s="54" t="s">
        <v>560</v>
      </c>
      <c r="G3513" s="54" t="str">
        <f t="shared" si="59"/>
        <v/>
      </c>
      <c r="H3513" s="73"/>
      <c r="I3513" s="74"/>
      <c r="J3513" s="155">
        <v>0</v>
      </c>
    </row>
    <row r="3514" spans="1:10" ht="15" hidden="1" thickBot="1" x14ac:dyDescent="0.35">
      <c r="A3514" s="227"/>
      <c r="B3514" s="224"/>
      <c r="C3514" s="36" t="s">
        <v>1097</v>
      </c>
      <c r="D3514" s="36" t="s">
        <v>95</v>
      </c>
      <c r="E3514" s="37">
        <v>1.05</v>
      </c>
      <c r="F3514" s="54" t="s">
        <v>560</v>
      </c>
      <c r="G3514" s="54" t="str">
        <f t="shared" si="59"/>
        <v/>
      </c>
      <c r="H3514" s="39">
        <f>SUM(G3514:G3518)</f>
        <v>85.851036999999991</v>
      </c>
      <c r="I3514" s="40"/>
      <c r="J3514" s="155">
        <v>0</v>
      </c>
    </row>
    <row r="3515" spans="1:10" ht="15" hidden="1" thickBot="1" x14ac:dyDescent="0.35">
      <c r="A3515" s="227"/>
      <c r="B3515" s="224"/>
      <c r="C3515" s="36" t="s">
        <v>1933</v>
      </c>
      <c r="D3515" s="36" t="s">
        <v>42</v>
      </c>
      <c r="E3515" s="37">
        <f>0.8614/0.1</f>
        <v>8.6140000000000008</v>
      </c>
      <c r="F3515" s="54">
        <v>1.1729999999999998</v>
      </c>
      <c r="G3515" s="54">
        <f t="shared" si="59"/>
        <v>10.104222</v>
      </c>
      <c r="H3515" s="73"/>
      <c r="I3515" s="74"/>
      <c r="J3515" s="155">
        <v>0</v>
      </c>
    </row>
    <row r="3516" spans="1:10" ht="15" hidden="1" thickBot="1" x14ac:dyDescent="0.35">
      <c r="A3516" s="227"/>
      <c r="B3516" s="224"/>
      <c r="C3516" s="36" t="s">
        <v>54</v>
      </c>
      <c r="D3516" s="36" t="s">
        <v>12</v>
      </c>
      <c r="E3516" s="37">
        <f>0.299/0.1</f>
        <v>2.9899999999999998</v>
      </c>
      <c r="F3516" s="54">
        <v>16.923500000000001</v>
      </c>
      <c r="G3516" s="54">
        <f t="shared" si="59"/>
        <v>50.601264999999998</v>
      </c>
      <c r="H3516" s="73"/>
      <c r="I3516" s="74"/>
      <c r="J3516" s="155">
        <v>0</v>
      </c>
    </row>
    <row r="3517" spans="1:10" ht="15" hidden="1" thickBot="1" x14ac:dyDescent="0.35">
      <c r="A3517" s="227"/>
      <c r="B3517" s="224"/>
      <c r="C3517" s="36" t="s">
        <v>23</v>
      </c>
      <c r="D3517" s="36" t="s">
        <v>12</v>
      </c>
      <c r="E3517" s="37">
        <f>0.15/0.1</f>
        <v>1.4999999999999998</v>
      </c>
      <c r="F3517" s="54">
        <v>14.968499999999999</v>
      </c>
      <c r="G3517" s="54">
        <f t="shared" si="59"/>
        <v>22.452749999999995</v>
      </c>
      <c r="H3517" s="73"/>
      <c r="I3517" s="74"/>
      <c r="J3517" s="155">
        <v>0</v>
      </c>
    </row>
    <row r="3518" spans="1:10" ht="15" hidden="1" thickBot="1" x14ac:dyDescent="0.35">
      <c r="A3518" s="227"/>
      <c r="B3518" s="224"/>
      <c r="C3518" s="36" t="s">
        <v>1932</v>
      </c>
      <c r="D3518" s="36" t="s">
        <v>42</v>
      </c>
      <c r="E3518" s="37">
        <f>0.12/0.1</f>
        <v>1.2</v>
      </c>
      <c r="F3518" s="54">
        <v>2.2440000000000002</v>
      </c>
      <c r="G3518" s="54">
        <f t="shared" si="59"/>
        <v>2.6928000000000001</v>
      </c>
      <c r="H3518" s="73"/>
      <c r="I3518" s="74"/>
      <c r="J3518" s="155">
        <v>0</v>
      </c>
    </row>
    <row r="3519" spans="1:10" ht="15" hidden="1" thickBot="1" x14ac:dyDescent="0.35">
      <c r="A3519" s="227"/>
      <c r="B3519" s="224"/>
      <c r="C3519" s="36"/>
      <c r="D3519" s="36"/>
      <c r="E3519" s="37"/>
      <c r="F3519" s="54" t="s">
        <v>560</v>
      </c>
      <c r="G3519" s="54" t="str">
        <f t="shared" si="59"/>
        <v/>
      </c>
      <c r="H3519" s="73"/>
      <c r="I3519" s="74"/>
      <c r="J3519" s="155">
        <v>0</v>
      </c>
    </row>
    <row r="3520" spans="1:10" ht="15" hidden="1" thickBot="1" x14ac:dyDescent="0.35">
      <c r="A3520" s="226" t="s">
        <v>1098</v>
      </c>
      <c r="B3520" s="223" t="e">
        <f>INDEX(#REF!,MATCH(Composições!A3520,#REF!,0),2)</f>
        <v>#REF!</v>
      </c>
      <c r="C3520" s="41"/>
      <c r="D3520" s="26" t="e">
        <f>TRIM(INDEX(#REF!,MATCH(Composições!A3520,#REF!,0),1))</f>
        <v>#REF!</v>
      </c>
      <c r="E3520" s="27"/>
      <c r="F3520" s="49" t="s">
        <v>560</v>
      </c>
      <c r="G3520" s="28" t="str">
        <f t="shared" si="59"/>
        <v/>
      </c>
      <c r="H3520" s="29"/>
      <c r="I3520" s="30"/>
      <c r="J3520" s="155">
        <v>0</v>
      </c>
    </row>
    <row r="3521" spans="1:10" ht="15" hidden="1" thickBot="1" x14ac:dyDescent="0.35">
      <c r="A3521" s="227"/>
      <c r="B3521" s="224"/>
      <c r="C3521" s="32"/>
      <c r="D3521" s="32"/>
      <c r="E3521" s="33"/>
      <c r="F3521" s="54" t="s">
        <v>560</v>
      </c>
      <c r="G3521" s="54" t="str">
        <f t="shared" ref="G3521:G3584" si="60">IF(ISNUMBER(F3521),E3521*F3521,"")</f>
        <v/>
      </c>
      <c r="H3521" s="73"/>
      <c r="I3521" s="74"/>
      <c r="J3521" s="155">
        <v>0</v>
      </c>
    </row>
    <row r="3522" spans="1:10" ht="15" hidden="1" thickBot="1" x14ac:dyDescent="0.35">
      <c r="A3522" s="227"/>
      <c r="B3522" s="224"/>
      <c r="C3522" s="36" t="s">
        <v>23</v>
      </c>
      <c r="D3522" s="36" t="s">
        <v>12</v>
      </c>
      <c r="E3522" s="37">
        <v>0.05</v>
      </c>
      <c r="F3522" s="54">
        <v>14.968499999999999</v>
      </c>
      <c r="G3522" s="54">
        <f t="shared" si="60"/>
        <v>0.74842500000000001</v>
      </c>
      <c r="H3522" s="39">
        <f>SUM(G3522:G3525)</f>
        <v>0.86062499999999997</v>
      </c>
      <c r="I3522" s="40"/>
      <c r="J3522" s="155">
        <v>0</v>
      </c>
    </row>
    <row r="3523" spans="1:10" ht="15" hidden="1" thickBot="1" x14ac:dyDescent="0.35">
      <c r="A3523" s="227"/>
      <c r="B3523" s="224"/>
      <c r="C3523" s="36" t="s">
        <v>1099</v>
      </c>
      <c r="D3523" s="36" t="s">
        <v>1100</v>
      </c>
      <c r="E3523" s="37">
        <f>0.25/10</f>
        <v>2.5000000000000001E-2</v>
      </c>
      <c r="F3523" s="54">
        <v>0</v>
      </c>
      <c r="G3523" s="54">
        <f t="shared" si="60"/>
        <v>0</v>
      </c>
      <c r="H3523" s="73"/>
      <c r="I3523" s="74"/>
      <c r="J3523" s="155">
        <v>0</v>
      </c>
    </row>
    <row r="3524" spans="1:10" ht="15" hidden="1" thickBot="1" x14ac:dyDescent="0.35">
      <c r="A3524" s="227"/>
      <c r="B3524" s="224"/>
      <c r="C3524" s="36" t="s">
        <v>1101</v>
      </c>
      <c r="D3524" s="36" t="s">
        <v>20</v>
      </c>
      <c r="E3524" s="37">
        <v>0.25</v>
      </c>
      <c r="F3524" s="54" t="s">
        <v>560</v>
      </c>
      <c r="G3524" s="54" t="str">
        <f t="shared" si="60"/>
        <v/>
      </c>
      <c r="H3524" s="73"/>
      <c r="I3524" s="74"/>
      <c r="J3524" s="155">
        <v>0</v>
      </c>
    </row>
    <row r="3525" spans="1:10" ht="15" hidden="1" thickBot="1" x14ac:dyDescent="0.35">
      <c r="A3525" s="227"/>
      <c r="B3525" s="224"/>
      <c r="C3525" s="36" t="s">
        <v>1932</v>
      </c>
      <c r="D3525" s="47" t="s">
        <v>42</v>
      </c>
      <c r="E3525" s="37">
        <v>0.05</v>
      </c>
      <c r="F3525" s="54">
        <v>2.2440000000000002</v>
      </c>
      <c r="G3525" s="54">
        <f t="shared" si="60"/>
        <v>0.11220000000000002</v>
      </c>
      <c r="H3525" s="73"/>
      <c r="I3525" s="74"/>
      <c r="J3525" s="155">
        <v>0</v>
      </c>
    </row>
    <row r="3526" spans="1:10" ht="15" hidden="1" thickBot="1" x14ac:dyDescent="0.35">
      <c r="A3526" s="228"/>
      <c r="B3526" s="225"/>
      <c r="C3526" s="36"/>
      <c r="D3526" s="36"/>
      <c r="E3526" s="37"/>
      <c r="F3526" s="54" t="s">
        <v>560</v>
      </c>
      <c r="G3526" s="54" t="str">
        <f t="shared" si="60"/>
        <v/>
      </c>
      <c r="H3526" s="73"/>
      <c r="I3526" s="74"/>
      <c r="J3526" s="155">
        <v>0</v>
      </c>
    </row>
    <row r="3527" spans="1:10" ht="15" hidden="1" thickBot="1" x14ac:dyDescent="0.35">
      <c r="A3527" s="226" t="s">
        <v>1102</v>
      </c>
      <c r="B3527" s="223" t="e">
        <f>INDEX(#REF!,MATCH(Composições!A3527,#REF!,0),2)</f>
        <v>#REF!</v>
      </c>
      <c r="C3527" s="41"/>
      <c r="D3527" s="26" t="e">
        <f>TRIM(INDEX(#REF!,MATCH(Composições!A3527,#REF!,0),1))</f>
        <v>#REF!</v>
      </c>
      <c r="E3527" s="27"/>
      <c r="F3527" s="49" t="s">
        <v>560</v>
      </c>
      <c r="G3527" s="28" t="str">
        <f t="shared" si="60"/>
        <v/>
      </c>
      <c r="H3527" s="29"/>
      <c r="I3527" s="30"/>
      <c r="J3527" s="155">
        <v>0</v>
      </c>
    </row>
    <row r="3528" spans="1:10" ht="15" hidden="1" thickBot="1" x14ac:dyDescent="0.35">
      <c r="A3528" s="227"/>
      <c r="B3528" s="224"/>
      <c r="C3528" s="32"/>
      <c r="D3528" s="32"/>
      <c r="E3528" s="33"/>
      <c r="F3528" s="54" t="s">
        <v>560</v>
      </c>
      <c r="G3528" s="54" t="str">
        <f t="shared" si="60"/>
        <v/>
      </c>
      <c r="H3528" s="73"/>
      <c r="I3528" s="74"/>
      <c r="J3528" s="155">
        <v>0</v>
      </c>
    </row>
    <row r="3529" spans="1:10" ht="15" hidden="1" thickBot="1" x14ac:dyDescent="0.35">
      <c r="A3529" s="227"/>
      <c r="B3529" s="224"/>
      <c r="C3529" s="36" t="s">
        <v>23</v>
      </c>
      <c r="D3529" s="36" t="s">
        <v>12</v>
      </c>
      <c r="E3529" s="37">
        <v>0.25</v>
      </c>
      <c r="F3529" s="54">
        <v>14.968499999999999</v>
      </c>
      <c r="G3529" s="54">
        <f t="shared" si="60"/>
        <v>3.7421249999999997</v>
      </c>
      <c r="H3529" s="39">
        <f>SUM(G3529:G3530)</f>
        <v>4.9292009999999999</v>
      </c>
      <c r="I3529" s="40"/>
      <c r="J3529" s="155">
        <v>0</v>
      </c>
    </row>
    <row r="3530" spans="1:10" ht="15" hidden="1" thickBot="1" x14ac:dyDescent="0.35">
      <c r="A3530" s="227"/>
      <c r="B3530" s="224"/>
      <c r="C3530" s="36" t="s">
        <v>1932</v>
      </c>
      <c r="D3530" s="47" t="s">
        <v>42</v>
      </c>
      <c r="E3530" s="37">
        <v>0.52900000000000003</v>
      </c>
      <c r="F3530" s="54">
        <v>2.2440000000000002</v>
      </c>
      <c r="G3530" s="54">
        <f t="shared" si="60"/>
        <v>1.1870760000000002</v>
      </c>
      <c r="H3530" s="73"/>
      <c r="I3530" s="74"/>
      <c r="J3530" s="155">
        <v>0</v>
      </c>
    </row>
    <row r="3531" spans="1:10" ht="15" hidden="1" thickBot="1" x14ac:dyDescent="0.35">
      <c r="A3531" s="228"/>
      <c r="B3531" s="225"/>
      <c r="C3531" s="36"/>
      <c r="D3531" s="36"/>
      <c r="E3531" s="37"/>
      <c r="F3531" s="54" t="s">
        <v>560</v>
      </c>
      <c r="G3531" s="54" t="str">
        <f t="shared" si="60"/>
        <v/>
      </c>
      <c r="H3531" s="73"/>
      <c r="I3531" s="74"/>
      <c r="J3531" s="155">
        <v>0</v>
      </c>
    </row>
    <row r="3532" spans="1:10" ht="15" hidden="1" thickBot="1" x14ac:dyDescent="0.35">
      <c r="A3532" s="226" t="s">
        <v>1103</v>
      </c>
      <c r="B3532" s="223" t="e">
        <f>INDEX(#REF!,MATCH(Composições!A3532,#REF!,0),2)</f>
        <v>#REF!</v>
      </c>
      <c r="C3532" s="41"/>
      <c r="D3532" s="26" t="e">
        <f>TRIM(INDEX(#REF!,MATCH(Composições!A3532,#REF!,0),1))</f>
        <v>#REF!</v>
      </c>
      <c r="E3532" s="27"/>
      <c r="F3532" s="49" t="s">
        <v>560</v>
      </c>
      <c r="G3532" s="28" t="str">
        <f t="shared" si="60"/>
        <v/>
      </c>
      <c r="H3532" s="29"/>
      <c r="I3532" s="30"/>
      <c r="J3532" s="155">
        <v>0</v>
      </c>
    </row>
    <row r="3533" spans="1:10" ht="15" hidden="1" thickBot="1" x14ac:dyDescent="0.35">
      <c r="A3533" s="227"/>
      <c r="B3533" s="224"/>
      <c r="C3533" s="32"/>
      <c r="D3533" s="32"/>
      <c r="E3533" s="33"/>
      <c r="F3533" s="54" t="s">
        <v>560</v>
      </c>
      <c r="G3533" s="54" t="str">
        <f t="shared" si="60"/>
        <v/>
      </c>
      <c r="H3533" s="73"/>
      <c r="I3533" s="74"/>
      <c r="J3533" s="155">
        <v>0</v>
      </c>
    </row>
    <row r="3534" spans="1:10" ht="15" hidden="1" thickBot="1" x14ac:dyDescent="0.35">
      <c r="A3534" s="227"/>
      <c r="B3534" s="224"/>
      <c r="C3534" s="36" t="s">
        <v>22</v>
      </c>
      <c r="D3534" s="36" t="s">
        <v>12</v>
      </c>
      <c r="E3534" s="37">
        <v>0.33</v>
      </c>
      <c r="F3534" s="54">
        <v>20.314999999999998</v>
      </c>
      <c r="G3534" s="54">
        <f t="shared" si="60"/>
        <v>6.7039499999999999</v>
      </c>
      <c r="H3534" s="39">
        <f>SUM(G3534:G3538)</f>
        <v>40.601484199999994</v>
      </c>
      <c r="I3534" s="40"/>
      <c r="J3534" s="155">
        <v>0</v>
      </c>
    </row>
    <row r="3535" spans="1:10" ht="15" hidden="1" thickBot="1" x14ac:dyDescent="0.35">
      <c r="A3535" s="227"/>
      <c r="B3535" s="224"/>
      <c r="C3535" s="36" t="s">
        <v>23</v>
      </c>
      <c r="D3535" s="36" t="s">
        <v>12</v>
      </c>
      <c r="E3535" s="37">
        <v>0.1</v>
      </c>
      <c r="F3535" s="54">
        <v>14.968499999999999</v>
      </c>
      <c r="G3535" s="54">
        <f t="shared" si="60"/>
        <v>1.49685</v>
      </c>
      <c r="H3535" s="73"/>
      <c r="I3535" s="74"/>
      <c r="J3535" s="155">
        <v>0</v>
      </c>
    </row>
    <row r="3536" spans="1:10" ht="15" hidden="1" thickBot="1" x14ac:dyDescent="0.35">
      <c r="A3536" s="227"/>
      <c r="B3536" s="224"/>
      <c r="C3536" s="36" t="s">
        <v>1104</v>
      </c>
      <c r="D3536" s="50" t="s">
        <v>103</v>
      </c>
      <c r="E3536" s="37">
        <v>0.15</v>
      </c>
      <c r="F3536" s="54">
        <v>18.163650000000001</v>
      </c>
      <c r="G3536" s="54">
        <f t="shared" si="60"/>
        <v>2.7245474999999999</v>
      </c>
      <c r="H3536" s="73"/>
      <c r="I3536" s="74"/>
      <c r="J3536" s="155">
        <v>0</v>
      </c>
    </row>
    <row r="3537" spans="1:10" ht="15" hidden="1" thickBot="1" x14ac:dyDescent="0.35">
      <c r="A3537" s="227"/>
      <c r="B3537" s="224"/>
      <c r="C3537" s="36" t="s">
        <v>1105</v>
      </c>
      <c r="D3537" s="47" t="s">
        <v>93</v>
      </c>
      <c r="E3537" s="37">
        <v>1</v>
      </c>
      <c r="F3537" s="54">
        <v>16.440020000000001</v>
      </c>
      <c r="G3537" s="54">
        <f t="shared" si="60"/>
        <v>16.440020000000001</v>
      </c>
      <c r="H3537" s="73"/>
      <c r="I3537" s="74"/>
      <c r="J3537" s="155">
        <v>0</v>
      </c>
    </row>
    <row r="3538" spans="1:10" ht="27" hidden="1" thickBot="1" x14ac:dyDescent="0.35">
      <c r="A3538" s="227"/>
      <c r="B3538" s="224"/>
      <c r="C3538" s="36" t="s">
        <v>1106</v>
      </c>
      <c r="D3538" s="47" t="s">
        <v>1107</v>
      </c>
      <c r="E3538" s="37">
        <f>ROUND(0.15/0.31,4)</f>
        <v>0.4839</v>
      </c>
      <c r="F3538" s="54">
        <v>27.352999999999998</v>
      </c>
      <c r="G3538" s="54">
        <f t="shared" si="60"/>
        <v>13.236116699999998</v>
      </c>
      <c r="H3538" s="73"/>
      <c r="I3538" s="74"/>
      <c r="J3538" s="155">
        <v>0</v>
      </c>
    </row>
    <row r="3539" spans="1:10" ht="15" hidden="1" thickBot="1" x14ac:dyDescent="0.35">
      <c r="A3539" s="228"/>
      <c r="B3539" s="225"/>
      <c r="C3539" s="36"/>
      <c r="D3539" s="36"/>
      <c r="E3539" s="37"/>
      <c r="F3539" s="54" t="s">
        <v>560</v>
      </c>
      <c r="G3539" s="54" t="str">
        <f t="shared" si="60"/>
        <v/>
      </c>
      <c r="H3539" s="73"/>
      <c r="I3539" s="74"/>
      <c r="J3539" s="155">
        <v>0</v>
      </c>
    </row>
    <row r="3540" spans="1:10" ht="15" hidden="1" thickBot="1" x14ac:dyDescent="0.35">
      <c r="A3540" s="226" t="s">
        <v>1108</v>
      </c>
      <c r="B3540" s="223" t="e">
        <f>INDEX(#REF!,MATCH(Composições!A3540,#REF!,0),2)</f>
        <v>#REF!</v>
      </c>
      <c r="C3540" s="41"/>
      <c r="D3540" s="26" t="e">
        <f>TRIM(INDEX(#REF!,MATCH(Composições!A3540,#REF!,0),1))</f>
        <v>#REF!</v>
      </c>
      <c r="E3540" s="27"/>
      <c r="F3540" s="49" t="s">
        <v>560</v>
      </c>
      <c r="G3540" s="28" t="str">
        <f t="shared" si="60"/>
        <v/>
      </c>
      <c r="H3540" s="29"/>
      <c r="I3540" s="30"/>
      <c r="J3540" s="155">
        <v>0</v>
      </c>
    </row>
    <row r="3541" spans="1:10" ht="15" hidden="1" thickBot="1" x14ac:dyDescent="0.35">
      <c r="A3541" s="227"/>
      <c r="B3541" s="224"/>
      <c r="C3541" s="32"/>
      <c r="D3541" s="32"/>
      <c r="E3541" s="33"/>
      <c r="F3541" s="54" t="s">
        <v>560</v>
      </c>
      <c r="G3541" s="54" t="str">
        <f t="shared" si="60"/>
        <v/>
      </c>
      <c r="H3541" s="73"/>
      <c r="I3541" s="74"/>
      <c r="J3541" s="155">
        <v>0</v>
      </c>
    </row>
    <row r="3542" spans="1:10" ht="15" hidden="1" thickBot="1" x14ac:dyDescent="0.35">
      <c r="A3542" s="227"/>
      <c r="B3542" s="224"/>
      <c r="C3542" s="36" t="s">
        <v>22</v>
      </c>
      <c r="D3542" s="36" t="s">
        <v>12</v>
      </c>
      <c r="E3542" s="37">
        <v>0.16500000000000001</v>
      </c>
      <c r="F3542" s="54">
        <v>20.314999999999998</v>
      </c>
      <c r="G3542" s="54">
        <f t="shared" si="60"/>
        <v>3.3519749999999999</v>
      </c>
      <c r="H3542" s="39">
        <f>SUM(G3542:G3544)</f>
        <v>13.962844599999999</v>
      </c>
      <c r="I3542" s="40"/>
      <c r="J3542" s="155">
        <v>0</v>
      </c>
    </row>
    <row r="3543" spans="1:10" ht="15" hidden="1" thickBot="1" x14ac:dyDescent="0.35">
      <c r="A3543" s="227"/>
      <c r="B3543" s="224"/>
      <c r="C3543" s="36" t="s">
        <v>23</v>
      </c>
      <c r="D3543" s="36" t="s">
        <v>12</v>
      </c>
      <c r="E3543" s="37">
        <v>0.1</v>
      </c>
      <c r="F3543" s="54">
        <v>14.968499999999999</v>
      </c>
      <c r="G3543" s="54">
        <f t="shared" si="60"/>
        <v>1.49685</v>
      </c>
      <c r="H3543" s="73"/>
      <c r="I3543" s="74"/>
      <c r="J3543" s="155">
        <v>0</v>
      </c>
    </row>
    <row r="3544" spans="1:10" ht="27" hidden="1" thickBot="1" x14ac:dyDescent="0.35">
      <c r="A3544" s="227"/>
      <c r="B3544" s="224"/>
      <c r="C3544" s="36" t="s">
        <v>1106</v>
      </c>
      <c r="D3544" s="47" t="s">
        <v>1107</v>
      </c>
      <c r="E3544" s="37">
        <f>ROUND(0.1033/0.31,4)</f>
        <v>0.3332</v>
      </c>
      <c r="F3544" s="54">
        <v>27.352999999999998</v>
      </c>
      <c r="G3544" s="54">
        <f t="shared" si="60"/>
        <v>9.1140195999999989</v>
      </c>
      <c r="H3544" s="73"/>
      <c r="I3544" s="74"/>
      <c r="J3544" s="155">
        <v>0</v>
      </c>
    </row>
    <row r="3545" spans="1:10" ht="15" hidden="1" thickBot="1" x14ac:dyDescent="0.35">
      <c r="A3545" s="228"/>
      <c r="B3545" s="225"/>
      <c r="C3545" s="36"/>
      <c r="D3545" s="36"/>
      <c r="E3545" s="37"/>
      <c r="F3545" s="54" t="s">
        <v>560</v>
      </c>
      <c r="G3545" s="54" t="str">
        <f t="shared" si="60"/>
        <v/>
      </c>
      <c r="H3545" s="73"/>
      <c r="I3545" s="74"/>
      <c r="J3545" s="155">
        <v>0</v>
      </c>
    </row>
    <row r="3546" spans="1:10" ht="15" hidden="1" thickBot="1" x14ac:dyDescent="0.35">
      <c r="A3546" s="226" t="s">
        <v>1109</v>
      </c>
      <c r="B3546" s="223" t="e">
        <f>INDEX(#REF!,MATCH(Composições!A3546,#REF!,0),2)</f>
        <v>#REF!</v>
      </c>
      <c r="C3546" s="41"/>
      <c r="D3546" s="26" t="e">
        <f>TRIM(INDEX(#REF!,MATCH(Composições!A3546,#REF!,0),1))</f>
        <v>#REF!</v>
      </c>
      <c r="E3546" s="27"/>
      <c r="F3546" s="49" t="s">
        <v>560</v>
      </c>
      <c r="G3546" s="28" t="str">
        <f t="shared" si="60"/>
        <v/>
      </c>
      <c r="H3546" s="29"/>
      <c r="I3546" s="30"/>
      <c r="J3546" s="155">
        <v>0</v>
      </c>
    </row>
    <row r="3547" spans="1:10" ht="15" hidden="1" thickBot="1" x14ac:dyDescent="0.35">
      <c r="A3547" s="227"/>
      <c r="B3547" s="224"/>
      <c r="C3547" s="32"/>
      <c r="D3547" s="32"/>
      <c r="E3547" s="33"/>
      <c r="F3547" s="54" t="s">
        <v>560</v>
      </c>
      <c r="G3547" s="54" t="str">
        <f t="shared" si="60"/>
        <v/>
      </c>
      <c r="H3547" s="73"/>
      <c r="I3547" s="74"/>
      <c r="J3547" s="155">
        <v>0</v>
      </c>
    </row>
    <row r="3548" spans="1:10" ht="27" hidden="1" thickBot="1" x14ac:dyDescent="0.35">
      <c r="A3548" s="227"/>
      <c r="B3548" s="224"/>
      <c r="C3548" s="36" t="s">
        <v>1110</v>
      </c>
      <c r="D3548" s="36" t="s">
        <v>292</v>
      </c>
      <c r="E3548" s="37">
        <v>1</v>
      </c>
      <c r="F3548" s="54">
        <v>55.377500000000005</v>
      </c>
      <c r="G3548" s="54">
        <f t="shared" si="60"/>
        <v>55.377500000000005</v>
      </c>
      <c r="H3548" s="39">
        <f>SUM(G3548:G3551)</f>
        <v>66.437558899999999</v>
      </c>
      <c r="I3548" s="40"/>
      <c r="J3548" s="155">
        <v>0</v>
      </c>
    </row>
    <row r="3549" spans="1:10" ht="15" hidden="1" thickBot="1" x14ac:dyDescent="0.35">
      <c r="A3549" s="227"/>
      <c r="B3549" s="224"/>
      <c r="C3549" s="36" t="s">
        <v>1111</v>
      </c>
      <c r="D3549" s="36" t="s">
        <v>292</v>
      </c>
      <c r="E3549" s="37">
        <v>2.1000000000000001E-2</v>
      </c>
      <c r="F3549" s="54">
        <v>3.1110000000000002</v>
      </c>
      <c r="G3549" s="54">
        <f t="shared" si="60"/>
        <v>6.5331000000000014E-2</v>
      </c>
      <c r="H3549" s="73"/>
      <c r="I3549" s="74"/>
      <c r="J3549" s="155">
        <v>0</v>
      </c>
    </row>
    <row r="3550" spans="1:10" ht="27" hidden="1" thickBot="1" x14ac:dyDescent="0.35">
      <c r="A3550" s="227"/>
      <c r="B3550" s="224"/>
      <c r="C3550" s="36" t="s">
        <v>995</v>
      </c>
      <c r="D3550" s="36" t="s">
        <v>744</v>
      </c>
      <c r="E3550" s="37">
        <v>0.44669999999999999</v>
      </c>
      <c r="F3550" s="54">
        <v>19.898499999999999</v>
      </c>
      <c r="G3550" s="54">
        <f t="shared" si="60"/>
        <v>8.8886599499999992</v>
      </c>
      <c r="H3550" s="73"/>
      <c r="I3550" s="74"/>
      <c r="J3550" s="155">
        <v>0</v>
      </c>
    </row>
    <row r="3551" spans="1:10" ht="15" hidden="1" thickBot="1" x14ac:dyDescent="0.35">
      <c r="A3551" s="227"/>
      <c r="B3551" s="224"/>
      <c r="C3551" s="36" t="s">
        <v>745</v>
      </c>
      <c r="D3551" s="36" t="s">
        <v>744</v>
      </c>
      <c r="E3551" s="37">
        <v>0.14069999999999999</v>
      </c>
      <c r="F3551" s="54">
        <v>14.968499999999999</v>
      </c>
      <c r="G3551" s="54">
        <f t="shared" si="60"/>
        <v>2.1060679499999999</v>
      </c>
      <c r="H3551" s="73"/>
      <c r="I3551" s="74"/>
      <c r="J3551" s="155">
        <v>0</v>
      </c>
    </row>
    <row r="3552" spans="1:10" ht="15" hidden="1" thickBot="1" x14ac:dyDescent="0.35">
      <c r="A3552" s="228"/>
      <c r="B3552" s="225"/>
      <c r="C3552" s="36"/>
      <c r="D3552" s="36"/>
      <c r="E3552" s="37"/>
      <c r="F3552" s="54" t="s">
        <v>560</v>
      </c>
      <c r="G3552" s="54" t="str">
        <f t="shared" si="60"/>
        <v/>
      </c>
      <c r="H3552" s="73"/>
      <c r="I3552" s="74"/>
      <c r="J3552" s="155">
        <v>0</v>
      </c>
    </row>
    <row r="3553" spans="1:10" ht="15" thickBot="1" x14ac:dyDescent="0.35">
      <c r="A3553" s="226" t="s">
        <v>1112</v>
      </c>
      <c r="B3553" s="223" t="str">
        <f>INDEX(Orçamentária!A:B,MATCH(Composições!A3553,Orçamentária!A:A,0),2)</f>
        <v>Lastro em concreto magro</v>
      </c>
      <c r="C3553" s="41"/>
      <c r="D3553" s="26" t="str">
        <f>TRIM(INDEX(Orçamentária!C:C,MATCH(Composições!A3553,Orçamentária!A:A,0),1))</f>
        <v>m3</v>
      </c>
      <c r="E3553" s="27"/>
      <c r="F3553" s="49" t="s">
        <v>560</v>
      </c>
      <c r="G3553" s="28" t="str">
        <f t="shared" si="60"/>
        <v/>
      </c>
      <c r="H3553" s="29"/>
      <c r="I3553" s="30"/>
      <c r="J3553" s="155">
        <v>96.7</v>
      </c>
    </row>
    <row r="3554" spans="1:10" x14ac:dyDescent="0.3">
      <c r="A3554" s="227"/>
      <c r="B3554" s="224"/>
      <c r="C3554" s="32"/>
      <c r="D3554" s="32"/>
      <c r="E3554" s="33"/>
      <c r="F3554" s="54" t="s">
        <v>560</v>
      </c>
      <c r="G3554" s="54" t="str">
        <f t="shared" si="60"/>
        <v/>
      </c>
      <c r="H3554" s="73"/>
      <c r="I3554" s="74"/>
      <c r="J3554" s="155">
        <v>96.7</v>
      </c>
    </row>
    <row r="3555" spans="1:10" x14ac:dyDescent="0.3">
      <c r="A3555" s="227"/>
      <c r="B3555" s="224"/>
      <c r="C3555" s="36" t="s">
        <v>22</v>
      </c>
      <c r="D3555" s="36" t="s">
        <v>744</v>
      </c>
      <c r="E3555" s="37">
        <v>2</v>
      </c>
      <c r="F3555" s="54">
        <v>20.314999999999998</v>
      </c>
      <c r="G3555" s="54">
        <f t="shared" si="60"/>
        <v>40.629999999999995</v>
      </c>
      <c r="H3555" s="39">
        <f>SUM(G3555:G3557)</f>
        <v>472.16246486809996</v>
      </c>
      <c r="I3555" s="40"/>
      <c r="J3555" s="155">
        <v>96.7</v>
      </c>
    </row>
    <row r="3556" spans="1:10" x14ac:dyDescent="0.3">
      <c r="A3556" s="227"/>
      <c r="B3556" s="224"/>
      <c r="C3556" s="36" t="s">
        <v>23</v>
      </c>
      <c r="D3556" s="36" t="s">
        <v>744</v>
      </c>
      <c r="E3556" s="37">
        <v>6</v>
      </c>
      <c r="F3556" s="54">
        <v>14.968499999999999</v>
      </c>
      <c r="G3556" s="54">
        <f t="shared" si="60"/>
        <v>89.810999999999993</v>
      </c>
      <c r="H3556" s="73"/>
      <c r="I3556" s="74"/>
      <c r="J3556" s="155">
        <v>96.7</v>
      </c>
    </row>
    <row r="3557" spans="1:10" ht="39.6" x14ac:dyDescent="0.3">
      <c r="A3557" s="227"/>
      <c r="B3557" s="224"/>
      <c r="C3557" s="36" t="s">
        <v>1113</v>
      </c>
      <c r="D3557" s="47" t="s">
        <v>122</v>
      </c>
      <c r="E3557" s="37">
        <v>1</v>
      </c>
      <c r="F3557" s="54">
        <v>341.72146486809999</v>
      </c>
      <c r="G3557" s="54">
        <f t="shared" si="60"/>
        <v>341.72146486809999</v>
      </c>
      <c r="H3557" s="73"/>
      <c r="I3557" s="74"/>
      <c r="J3557" s="155">
        <v>96.7</v>
      </c>
    </row>
    <row r="3558" spans="1:10" ht="15" thickBot="1" x14ac:dyDescent="0.35">
      <c r="A3558" s="228"/>
      <c r="B3558" s="225"/>
      <c r="C3558" s="36"/>
      <c r="D3558" s="36"/>
      <c r="E3558" s="37"/>
      <c r="F3558" s="54" t="s">
        <v>560</v>
      </c>
      <c r="G3558" s="54" t="str">
        <f t="shared" si="60"/>
        <v/>
      </c>
      <c r="H3558" s="73"/>
      <c r="I3558" s="74"/>
      <c r="J3558" s="155">
        <v>96.7</v>
      </c>
    </row>
    <row r="3559" spans="1:10" ht="15" thickBot="1" x14ac:dyDescent="0.35">
      <c r="A3559" s="226" t="s">
        <v>1114</v>
      </c>
      <c r="B3559" s="223" t="str">
        <f>INDEX(Orçamentária!A:B,MATCH(Composições!A3559,Orçamentária!A:A,0),2)</f>
        <v>Pavimentação em concreto armado simples</v>
      </c>
      <c r="C3559" s="41"/>
      <c r="D3559" s="26" t="str">
        <f>TRIM(INDEX(Orçamentária!C:C,MATCH(Composições!A3559,Orçamentária!A:A,0),1))</f>
        <v>m2</v>
      </c>
      <c r="E3559" s="27"/>
      <c r="F3559" s="49" t="s">
        <v>560</v>
      </c>
      <c r="G3559" s="28" t="str">
        <f t="shared" si="60"/>
        <v/>
      </c>
      <c r="H3559" s="29"/>
      <c r="I3559" s="30"/>
      <c r="J3559" s="155">
        <v>873</v>
      </c>
    </row>
    <row r="3560" spans="1:10" x14ac:dyDescent="0.3">
      <c r="A3560" s="229"/>
      <c r="B3560" s="224"/>
      <c r="C3560" s="32"/>
      <c r="D3560" s="32"/>
      <c r="E3560" s="33"/>
      <c r="F3560" s="54" t="s">
        <v>560</v>
      </c>
      <c r="G3560" s="54" t="str">
        <f t="shared" si="60"/>
        <v/>
      </c>
      <c r="H3560" s="73"/>
      <c r="I3560" s="74"/>
      <c r="J3560" s="155">
        <v>873</v>
      </c>
    </row>
    <row r="3561" spans="1:10" ht="39.6" x14ac:dyDescent="0.3">
      <c r="A3561" s="229"/>
      <c r="B3561" s="224"/>
      <c r="C3561" s="36" t="s">
        <v>1728</v>
      </c>
      <c r="D3561" s="36" t="s">
        <v>122</v>
      </c>
      <c r="E3561" s="37">
        <v>8.14E-2</v>
      </c>
      <c r="F3561" s="54">
        <v>258.82499999999999</v>
      </c>
      <c r="G3561" s="54">
        <f t="shared" si="60"/>
        <v>21.068355</v>
      </c>
      <c r="H3561" s="39">
        <f>SUM(G3561:G3567)</f>
        <v>103.72608649999999</v>
      </c>
      <c r="I3561" s="40"/>
      <c r="J3561" s="155">
        <v>873</v>
      </c>
    </row>
    <row r="3562" spans="1:10" ht="26.4" x14ac:dyDescent="0.3">
      <c r="A3562" s="229"/>
      <c r="B3562" s="224"/>
      <c r="C3562" s="36" t="s">
        <v>1785</v>
      </c>
      <c r="D3562" s="36" t="s">
        <v>939</v>
      </c>
      <c r="E3562" s="37">
        <v>4</v>
      </c>
      <c r="F3562" s="54">
        <v>7.0209999999999999</v>
      </c>
      <c r="G3562" s="54">
        <f t="shared" si="60"/>
        <v>28.084</v>
      </c>
      <c r="H3562" s="73"/>
      <c r="I3562" s="74"/>
      <c r="J3562" s="155">
        <v>873</v>
      </c>
    </row>
    <row r="3563" spans="1:10" x14ac:dyDescent="0.3">
      <c r="A3563" s="229"/>
      <c r="B3563" s="224"/>
      <c r="C3563" s="36" t="s">
        <v>752</v>
      </c>
      <c r="D3563" s="36" t="s">
        <v>744</v>
      </c>
      <c r="E3563" s="37">
        <v>0.1119</v>
      </c>
      <c r="F3563" s="54">
        <v>20.314999999999998</v>
      </c>
      <c r="G3563" s="54">
        <f t="shared" si="60"/>
        <v>2.2732484999999998</v>
      </c>
      <c r="H3563" s="73"/>
      <c r="I3563" s="74"/>
      <c r="J3563" s="155">
        <v>873</v>
      </c>
    </row>
    <row r="3564" spans="1:10" x14ac:dyDescent="0.3">
      <c r="A3564" s="229"/>
      <c r="B3564" s="224"/>
      <c r="C3564" s="36" t="s">
        <v>745</v>
      </c>
      <c r="D3564" s="47" t="s">
        <v>744</v>
      </c>
      <c r="E3564" s="37">
        <v>4.6600000000000003E-2</v>
      </c>
      <c r="F3564" s="54">
        <v>14.968499999999999</v>
      </c>
      <c r="G3564" s="54">
        <f t="shared" si="60"/>
        <v>0.69753209999999999</v>
      </c>
      <c r="H3564" s="73"/>
      <c r="I3564" s="74"/>
      <c r="J3564" s="155">
        <v>873</v>
      </c>
    </row>
    <row r="3565" spans="1:10" ht="26.4" x14ac:dyDescent="0.3">
      <c r="A3565" s="229"/>
      <c r="B3565" s="224"/>
      <c r="C3565" s="36" t="s">
        <v>1660</v>
      </c>
      <c r="D3565" s="47" t="s">
        <v>983</v>
      </c>
      <c r="E3565" s="37">
        <v>7.0000000000000001E-3</v>
      </c>
      <c r="F3565" s="54">
        <v>8.4235000000000007</v>
      </c>
      <c r="G3565" s="54">
        <f t="shared" si="60"/>
        <v>5.8964500000000003E-2</v>
      </c>
      <c r="H3565" s="73"/>
      <c r="I3565" s="74"/>
      <c r="J3565" s="155">
        <v>873</v>
      </c>
    </row>
    <row r="3566" spans="1:10" ht="39.6" x14ac:dyDescent="0.3">
      <c r="A3566" s="229"/>
      <c r="B3566" s="224"/>
      <c r="C3566" s="36" t="s">
        <v>1115</v>
      </c>
      <c r="D3566" s="47" t="s">
        <v>1035</v>
      </c>
      <c r="E3566" s="37">
        <v>1.1224000000000001</v>
      </c>
      <c r="F3566" s="54">
        <v>43.485999999999997</v>
      </c>
      <c r="G3566" s="54">
        <f t="shared" si="60"/>
        <v>48.808686399999999</v>
      </c>
      <c r="H3566" s="73"/>
      <c r="I3566" s="74"/>
      <c r="J3566" s="155">
        <v>873</v>
      </c>
    </row>
    <row r="3567" spans="1:10" ht="26.4" x14ac:dyDescent="0.3">
      <c r="A3567" s="229"/>
      <c r="B3567" s="224"/>
      <c r="C3567" s="36" t="s">
        <v>1106</v>
      </c>
      <c r="D3567" s="47" t="s">
        <v>1117</v>
      </c>
      <c r="E3567" s="37">
        <v>0.1</v>
      </c>
      <c r="F3567" s="54">
        <v>27.352999999999998</v>
      </c>
      <c r="G3567" s="54">
        <f t="shared" si="60"/>
        <v>2.7353000000000001</v>
      </c>
      <c r="H3567" s="73"/>
      <c r="I3567" s="74"/>
      <c r="J3567" s="155">
        <v>873</v>
      </c>
    </row>
    <row r="3568" spans="1:10" ht="15" thickBot="1" x14ac:dyDescent="0.35">
      <c r="A3568" s="230"/>
      <c r="B3568" s="225"/>
      <c r="C3568" s="36"/>
      <c r="D3568" s="36"/>
      <c r="E3568" s="37"/>
      <c r="F3568" s="54" t="s">
        <v>560</v>
      </c>
      <c r="G3568" s="54" t="str">
        <f t="shared" si="60"/>
        <v/>
      </c>
      <c r="H3568" s="73"/>
      <c r="I3568" s="74"/>
      <c r="J3568" s="155">
        <v>873</v>
      </c>
    </row>
    <row r="3569" spans="1:10" ht="15" hidden="1" thickBot="1" x14ac:dyDescent="0.35">
      <c r="A3569" s="226" t="s">
        <v>1118</v>
      </c>
      <c r="B3569" s="223" t="e">
        <f>INDEX(#REF!,MATCH(Composições!A3569,#REF!,0),2)</f>
        <v>#REF!</v>
      </c>
      <c r="C3569" s="41"/>
      <c r="D3569" s="26" t="e">
        <f>TRIM(INDEX(#REF!,MATCH(Composições!A3569,#REF!,0),1))</f>
        <v>#REF!</v>
      </c>
      <c r="E3569" s="27"/>
      <c r="F3569" s="49" t="s">
        <v>560</v>
      </c>
      <c r="G3569" s="28" t="str">
        <f t="shared" si="60"/>
        <v/>
      </c>
      <c r="H3569" s="29"/>
      <c r="I3569" s="30"/>
      <c r="J3569" s="155">
        <v>0</v>
      </c>
    </row>
    <row r="3570" spans="1:10" ht="15" hidden="1" thickBot="1" x14ac:dyDescent="0.35">
      <c r="A3570" s="227"/>
      <c r="B3570" s="224"/>
      <c r="C3570" s="32"/>
      <c r="D3570" s="32"/>
      <c r="E3570" s="33"/>
      <c r="F3570" s="54" t="s">
        <v>560</v>
      </c>
      <c r="G3570" s="54" t="str">
        <f t="shared" si="60"/>
        <v/>
      </c>
      <c r="H3570" s="73"/>
      <c r="I3570" s="74"/>
      <c r="J3570" s="155">
        <v>0</v>
      </c>
    </row>
    <row r="3571" spans="1:10" ht="15" hidden="1" thickBot="1" x14ac:dyDescent="0.35">
      <c r="A3571" s="227"/>
      <c r="B3571" s="224"/>
      <c r="C3571" s="36" t="s">
        <v>39</v>
      </c>
      <c r="D3571" s="50" t="s">
        <v>12</v>
      </c>
      <c r="E3571" s="37">
        <v>4</v>
      </c>
      <c r="F3571" s="54">
        <v>19.898499999999999</v>
      </c>
      <c r="G3571" s="54">
        <f t="shared" si="60"/>
        <v>79.593999999999994</v>
      </c>
      <c r="H3571" s="39">
        <f>SUM(G3571:G3572)</f>
        <v>139.46799999999999</v>
      </c>
      <c r="I3571" s="40"/>
      <c r="J3571" s="155">
        <v>0</v>
      </c>
    </row>
    <row r="3572" spans="1:10" ht="15" hidden="1" thickBot="1" x14ac:dyDescent="0.35">
      <c r="A3572" s="227"/>
      <c r="B3572" s="224"/>
      <c r="C3572" s="36" t="s">
        <v>23</v>
      </c>
      <c r="D3572" s="36" t="s">
        <v>12</v>
      </c>
      <c r="E3572" s="37">
        <v>4</v>
      </c>
      <c r="F3572" s="54">
        <v>14.968499999999999</v>
      </c>
      <c r="G3572" s="54">
        <f t="shared" si="60"/>
        <v>59.873999999999995</v>
      </c>
      <c r="H3572" s="73"/>
      <c r="I3572" s="74"/>
      <c r="J3572" s="155">
        <v>0</v>
      </c>
    </row>
    <row r="3573" spans="1:10" ht="15" hidden="1" thickBot="1" x14ac:dyDescent="0.35">
      <c r="A3573" s="228"/>
      <c r="B3573" s="225"/>
      <c r="C3573" s="36"/>
      <c r="D3573" s="36"/>
      <c r="E3573" s="37"/>
      <c r="F3573" s="54" t="s">
        <v>560</v>
      </c>
      <c r="G3573" s="54" t="str">
        <f t="shared" si="60"/>
        <v/>
      </c>
      <c r="H3573" s="73"/>
      <c r="I3573" s="74"/>
      <c r="J3573" s="155">
        <v>0</v>
      </c>
    </row>
    <row r="3574" spans="1:10" ht="15" hidden="1" thickBot="1" x14ac:dyDescent="0.35">
      <c r="A3574" s="226" t="s">
        <v>1119</v>
      </c>
      <c r="B3574" s="223" t="e">
        <f>INDEX(#REF!,MATCH(Composições!A3574,#REF!,0),2)</f>
        <v>#REF!</v>
      </c>
      <c r="C3574" s="41"/>
      <c r="D3574" s="26" t="e">
        <f>TRIM(INDEX(#REF!,MATCH(Composições!A3574,#REF!,0),1))</f>
        <v>#REF!</v>
      </c>
      <c r="E3574" s="27"/>
      <c r="F3574" s="49" t="s">
        <v>560</v>
      </c>
      <c r="G3574" s="28" t="str">
        <f t="shared" si="60"/>
        <v/>
      </c>
      <c r="H3574" s="29"/>
      <c r="I3574" s="30"/>
      <c r="J3574" s="155">
        <v>0</v>
      </c>
    </row>
    <row r="3575" spans="1:10" ht="15" hidden="1" thickBot="1" x14ac:dyDescent="0.35">
      <c r="A3575" s="227"/>
      <c r="B3575" s="224"/>
      <c r="C3575" s="32"/>
      <c r="D3575" s="32"/>
      <c r="E3575" s="33"/>
      <c r="F3575" s="54" t="s">
        <v>560</v>
      </c>
      <c r="G3575" s="54" t="str">
        <f t="shared" si="60"/>
        <v/>
      </c>
      <c r="H3575" s="73"/>
      <c r="I3575" s="74"/>
      <c r="J3575" s="155">
        <v>0</v>
      </c>
    </row>
    <row r="3576" spans="1:10" ht="53.4" hidden="1" thickBot="1" x14ac:dyDescent="0.35">
      <c r="A3576" s="227"/>
      <c r="B3576" s="224"/>
      <c r="C3576" s="36" t="s">
        <v>1120</v>
      </c>
      <c r="D3576" s="36" t="s">
        <v>983</v>
      </c>
      <c r="E3576" s="37">
        <v>1.3899999999999999E-2</v>
      </c>
      <c r="F3576" s="54">
        <v>114.28249999999998</v>
      </c>
      <c r="G3576" s="54">
        <f t="shared" si="60"/>
        <v>1.5885267499999998</v>
      </c>
      <c r="H3576" s="39">
        <f>SUM(G3576:G3577)</f>
        <v>1.7893647499999998</v>
      </c>
      <c r="I3576" s="40"/>
      <c r="J3576" s="155">
        <v>0</v>
      </c>
    </row>
    <row r="3577" spans="1:10" ht="53.4" hidden="1" thickBot="1" x14ac:dyDescent="0.35">
      <c r="A3577" s="227"/>
      <c r="B3577" s="224"/>
      <c r="C3577" s="36" t="s">
        <v>1121</v>
      </c>
      <c r="D3577" s="36" t="s">
        <v>985</v>
      </c>
      <c r="E3577" s="37">
        <v>6.0000000000000001E-3</v>
      </c>
      <c r="F3577" s="54">
        <v>33.472999999999999</v>
      </c>
      <c r="G3577" s="54">
        <f t="shared" si="60"/>
        <v>0.20083799999999999</v>
      </c>
      <c r="H3577" s="73"/>
      <c r="I3577" s="74"/>
      <c r="J3577" s="155">
        <v>0</v>
      </c>
    </row>
    <row r="3578" spans="1:10" ht="15" hidden="1" thickBot="1" x14ac:dyDescent="0.35">
      <c r="A3578" s="228"/>
      <c r="B3578" s="225"/>
      <c r="C3578" s="36"/>
      <c r="D3578" s="36"/>
      <c r="E3578" s="37"/>
      <c r="F3578" s="54" t="s">
        <v>560</v>
      </c>
      <c r="G3578" s="54" t="str">
        <f t="shared" si="60"/>
        <v/>
      </c>
      <c r="H3578" s="73"/>
      <c r="I3578" s="74"/>
      <c r="J3578" s="155">
        <v>0</v>
      </c>
    </row>
    <row r="3579" spans="1:10" ht="15" thickBot="1" x14ac:dyDescent="0.35">
      <c r="A3579" s="226" t="s">
        <v>1122</v>
      </c>
      <c r="B3579" s="223" t="str">
        <f>INDEX(Orçamentária!A:B,MATCH(Composições!A3579,Orçamentária!A:A,0),2)</f>
        <v>Demolição de estrutura metálica</v>
      </c>
      <c r="C3579" s="41"/>
      <c r="D3579" s="26" t="str">
        <f>TRIM(INDEX(Orçamentária!C:C,MATCH(Composições!A3579,Orçamentária!A:A,0),1))</f>
        <v>kg</v>
      </c>
      <c r="E3579" s="27"/>
      <c r="F3579" s="49" t="s">
        <v>560</v>
      </c>
      <c r="G3579" s="28" t="str">
        <f t="shared" si="60"/>
        <v/>
      </c>
      <c r="H3579" s="29"/>
      <c r="I3579" s="30"/>
      <c r="J3579" s="155">
        <v>600</v>
      </c>
    </row>
    <row r="3580" spans="1:10" x14ac:dyDescent="0.3">
      <c r="A3580" s="227"/>
      <c r="B3580" s="224"/>
      <c r="C3580" s="32"/>
      <c r="D3580" s="32"/>
      <c r="E3580" s="33"/>
      <c r="F3580" s="54" t="s">
        <v>560</v>
      </c>
      <c r="G3580" s="54" t="str">
        <f t="shared" si="60"/>
        <v/>
      </c>
      <c r="H3580" s="73"/>
      <c r="I3580" s="74"/>
      <c r="J3580" s="155">
        <v>600</v>
      </c>
    </row>
    <row r="3581" spans="1:10" ht="26.4" x14ac:dyDescent="0.3">
      <c r="A3581" s="227"/>
      <c r="B3581" s="224"/>
      <c r="C3581" s="36" t="s">
        <v>136</v>
      </c>
      <c r="D3581" s="36" t="s">
        <v>110</v>
      </c>
      <c r="E3581" s="37">
        <v>2.1999999999999999E-2</v>
      </c>
      <c r="F3581" s="54">
        <v>8.6870000000000012</v>
      </c>
      <c r="G3581" s="54">
        <f t="shared" si="60"/>
        <v>0.19111400000000001</v>
      </c>
      <c r="H3581" s="39">
        <f>SUM(G3581:G3585)</f>
        <v>2.6731055000000001</v>
      </c>
      <c r="I3581" s="40"/>
      <c r="J3581" s="155">
        <v>600</v>
      </c>
    </row>
    <row r="3582" spans="1:10" ht="26.4" x14ac:dyDescent="0.3">
      <c r="A3582" s="227"/>
      <c r="B3582" s="224"/>
      <c r="C3582" s="36" t="s">
        <v>132</v>
      </c>
      <c r="D3582" s="36" t="s">
        <v>42</v>
      </c>
      <c r="E3582" s="37">
        <v>5.0000000000000001E-3</v>
      </c>
      <c r="F3582" s="54">
        <v>39.669499999999999</v>
      </c>
      <c r="G3582" s="54">
        <f t="shared" si="60"/>
        <v>0.19834750000000001</v>
      </c>
      <c r="H3582" s="73"/>
      <c r="I3582" s="74"/>
      <c r="J3582" s="155">
        <v>600</v>
      </c>
    </row>
    <row r="3583" spans="1:10" ht="26.4" x14ac:dyDescent="0.3">
      <c r="A3583" s="227"/>
      <c r="B3583" s="224"/>
      <c r="C3583" s="36" t="s">
        <v>1123</v>
      </c>
      <c r="D3583" s="36" t="s">
        <v>983</v>
      </c>
      <c r="E3583" s="37">
        <f>E3584</f>
        <v>4.3999999999999997E-2</v>
      </c>
      <c r="F3583" s="54">
        <v>16.1585</v>
      </c>
      <c r="G3583" s="54">
        <f t="shared" si="60"/>
        <v>0.71097399999999999</v>
      </c>
      <c r="H3583" s="73"/>
      <c r="I3583" s="74"/>
      <c r="J3583" s="155">
        <v>600</v>
      </c>
    </row>
    <row r="3584" spans="1:10" x14ac:dyDescent="0.3">
      <c r="A3584" s="227"/>
      <c r="B3584" s="224"/>
      <c r="C3584" s="36" t="s">
        <v>1124</v>
      </c>
      <c r="D3584" s="36" t="s">
        <v>12</v>
      </c>
      <c r="E3584" s="37">
        <v>4.3999999999999997E-2</v>
      </c>
      <c r="F3584" s="54">
        <v>20.774000000000001</v>
      </c>
      <c r="G3584" s="54">
        <f t="shared" si="60"/>
        <v>0.91405599999999998</v>
      </c>
      <c r="H3584" s="73"/>
      <c r="I3584" s="74"/>
      <c r="J3584" s="155">
        <v>600</v>
      </c>
    </row>
    <row r="3585" spans="1:10" x14ac:dyDescent="0.3">
      <c r="A3585" s="227"/>
      <c r="B3585" s="224"/>
      <c r="C3585" s="36" t="s">
        <v>23</v>
      </c>
      <c r="D3585" s="36" t="s">
        <v>12</v>
      </c>
      <c r="E3585" s="37">
        <v>4.3999999999999997E-2</v>
      </c>
      <c r="F3585" s="54">
        <v>14.968499999999999</v>
      </c>
      <c r="G3585" s="54">
        <f t="shared" ref="G3585:G3648" si="61">IF(ISNUMBER(F3585),E3585*F3585,"")</f>
        <v>0.65861399999999992</v>
      </c>
      <c r="H3585" s="73"/>
      <c r="I3585" s="74"/>
      <c r="J3585" s="155">
        <v>600</v>
      </c>
    </row>
    <row r="3586" spans="1:10" ht="15" thickBot="1" x14ac:dyDescent="0.35">
      <c r="A3586" s="228"/>
      <c r="B3586" s="225"/>
      <c r="C3586" s="36"/>
      <c r="D3586" s="36"/>
      <c r="E3586" s="37"/>
      <c r="F3586" s="54" t="s">
        <v>560</v>
      </c>
      <c r="G3586" s="54" t="str">
        <f t="shared" si="61"/>
        <v/>
      </c>
      <c r="H3586" s="73"/>
      <c r="I3586" s="74"/>
      <c r="J3586" s="155">
        <v>600</v>
      </c>
    </row>
    <row r="3587" spans="1:10" ht="15" thickBot="1" x14ac:dyDescent="0.35">
      <c r="A3587" s="226" t="s">
        <v>1125</v>
      </c>
      <c r="B3587" s="223" t="str">
        <f>INDEX(Orçamentária!A:B,MATCH(Composições!A3587,Orçamentária!A:A,0),2)</f>
        <v>Escavação manual com profundidade maior do que 1,30 m</v>
      </c>
      <c r="C3587" s="41"/>
      <c r="D3587" s="26" t="str">
        <f>TRIM(INDEX(Orçamentária!C:C,MATCH(Composições!A3587,Orçamentária!A:A,0),1))</f>
        <v>m3</v>
      </c>
      <c r="E3587" s="27"/>
      <c r="F3587" s="49" t="s">
        <v>560</v>
      </c>
      <c r="G3587" s="28" t="str">
        <f t="shared" si="61"/>
        <v/>
      </c>
      <c r="H3587" s="29"/>
      <c r="I3587" s="30"/>
      <c r="J3587" s="155">
        <v>28.24</v>
      </c>
    </row>
    <row r="3588" spans="1:10" x14ac:dyDescent="0.3">
      <c r="A3588" s="227"/>
      <c r="B3588" s="224"/>
      <c r="C3588" s="32"/>
      <c r="D3588" s="32"/>
      <c r="E3588" s="33"/>
      <c r="F3588" s="54" t="s">
        <v>560</v>
      </c>
      <c r="G3588" s="54" t="str">
        <f t="shared" si="61"/>
        <v/>
      </c>
      <c r="H3588" s="73"/>
      <c r="I3588" s="74"/>
      <c r="J3588" s="155">
        <v>28.24</v>
      </c>
    </row>
    <row r="3589" spans="1:10" x14ac:dyDescent="0.3">
      <c r="A3589" s="227"/>
      <c r="B3589" s="224"/>
      <c r="C3589" s="36" t="s">
        <v>23</v>
      </c>
      <c r="D3589" s="36" t="s">
        <v>12</v>
      </c>
      <c r="E3589" s="37">
        <v>4.3</v>
      </c>
      <c r="F3589" s="54">
        <v>14.968499999999999</v>
      </c>
      <c r="G3589" s="54">
        <f t="shared" si="61"/>
        <v>64.364549999999994</v>
      </c>
      <c r="H3589" s="39">
        <f>SUM(G3589:G3589)</f>
        <v>64.364549999999994</v>
      </c>
      <c r="I3589" s="40"/>
      <c r="J3589" s="155">
        <v>28.24</v>
      </c>
    </row>
    <row r="3590" spans="1:10" ht="15" thickBot="1" x14ac:dyDescent="0.35">
      <c r="A3590" s="228"/>
      <c r="B3590" s="225"/>
      <c r="C3590" s="36"/>
      <c r="D3590" s="36"/>
      <c r="E3590" s="37"/>
      <c r="F3590" s="54" t="s">
        <v>560</v>
      </c>
      <c r="G3590" s="54" t="str">
        <f t="shared" si="61"/>
        <v/>
      </c>
      <c r="H3590" s="73"/>
      <c r="I3590" s="74"/>
      <c r="J3590" s="155">
        <v>28.24</v>
      </c>
    </row>
    <row r="3591" spans="1:10" ht="15" thickBot="1" x14ac:dyDescent="0.35">
      <c r="A3591" s="226" t="s">
        <v>1126</v>
      </c>
      <c r="B3591" s="223" t="str">
        <f>INDEX(Orçamentária!A:B,MATCH(Composições!A3591,Orçamentária!A:A,0),2)</f>
        <v>Escavação mecânica com profundidade maior do que 1,30 m</v>
      </c>
      <c r="C3591" s="41"/>
      <c r="D3591" s="26" t="str">
        <f>TRIM(INDEX(Orçamentária!C:C,MATCH(Composições!A3591,Orçamentária!A:A,0),1))</f>
        <v>m3</v>
      </c>
      <c r="E3591" s="27"/>
      <c r="F3591" s="49" t="s">
        <v>560</v>
      </c>
      <c r="G3591" s="28" t="str">
        <f t="shared" si="61"/>
        <v/>
      </c>
      <c r="H3591" s="29"/>
      <c r="I3591" s="30"/>
      <c r="J3591" s="155">
        <v>65.900000000000006</v>
      </c>
    </row>
    <row r="3592" spans="1:10" x14ac:dyDescent="0.3">
      <c r="A3592" s="227"/>
      <c r="B3592" s="224"/>
      <c r="C3592" s="32"/>
      <c r="D3592" s="32"/>
      <c r="E3592" s="33"/>
      <c r="F3592" s="54" t="s">
        <v>560</v>
      </c>
      <c r="G3592" s="54" t="str">
        <f t="shared" si="61"/>
        <v/>
      </c>
      <c r="H3592" s="73"/>
      <c r="I3592" s="74"/>
      <c r="J3592" s="155">
        <v>65.900000000000006</v>
      </c>
    </row>
    <row r="3593" spans="1:10" ht="52.8" x14ac:dyDescent="0.3">
      <c r="A3593" s="227"/>
      <c r="B3593" s="224"/>
      <c r="C3593" s="36" t="s">
        <v>1655</v>
      </c>
      <c r="D3593" s="36" t="s">
        <v>983</v>
      </c>
      <c r="E3593" s="37">
        <v>2.7099999999999999E-2</v>
      </c>
      <c r="F3593" s="54">
        <v>90.414500000000004</v>
      </c>
      <c r="G3593" s="54">
        <f t="shared" si="61"/>
        <v>2.4502329500000002</v>
      </c>
      <c r="H3593" s="39">
        <f>SUM(G3593:G3595)</f>
        <v>4.5328613000000004</v>
      </c>
      <c r="I3593" s="40"/>
      <c r="J3593" s="155">
        <v>65.900000000000006</v>
      </c>
    </row>
    <row r="3594" spans="1:10" ht="52.8" x14ac:dyDescent="0.3">
      <c r="A3594" s="227"/>
      <c r="B3594" s="224"/>
      <c r="C3594" s="36" t="s">
        <v>1663</v>
      </c>
      <c r="D3594" s="36" t="s">
        <v>985</v>
      </c>
      <c r="E3594" s="37">
        <v>3.2800000000000003E-2</v>
      </c>
      <c r="F3594" s="54">
        <v>36.158999999999999</v>
      </c>
      <c r="G3594" s="54">
        <f t="shared" si="61"/>
        <v>1.1860152000000002</v>
      </c>
      <c r="H3594" s="73"/>
      <c r="I3594" s="74"/>
      <c r="J3594" s="155">
        <v>65.900000000000006</v>
      </c>
    </row>
    <row r="3595" spans="1:10" x14ac:dyDescent="0.3">
      <c r="A3595" s="227"/>
      <c r="B3595" s="224"/>
      <c r="C3595" s="36" t="s">
        <v>745</v>
      </c>
      <c r="D3595" s="36" t="s">
        <v>744</v>
      </c>
      <c r="E3595" s="37">
        <v>5.9900000000000002E-2</v>
      </c>
      <c r="F3595" s="54">
        <v>14.968499999999999</v>
      </c>
      <c r="G3595" s="54">
        <f t="shared" si="61"/>
        <v>0.89661314999999997</v>
      </c>
      <c r="H3595" s="73"/>
      <c r="I3595" s="74"/>
      <c r="J3595" s="155">
        <v>65.900000000000006</v>
      </c>
    </row>
    <row r="3596" spans="1:10" ht="15" thickBot="1" x14ac:dyDescent="0.35">
      <c r="A3596" s="228"/>
      <c r="B3596" s="225"/>
      <c r="C3596" s="75"/>
      <c r="D3596" s="36"/>
      <c r="E3596" s="37"/>
      <c r="F3596" s="54" t="s">
        <v>560</v>
      </c>
      <c r="G3596" s="54" t="str">
        <f t="shared" si="61"/>
        <v/>
      </c>
      <c r="H3596" s="73"/>
      <c r="I3596" s="74"/>
      <c r="J3596" s="155">
        <v>65.900000000000006</v>
      </c>
    </row>
    <row r="3597" spans="1:10" ht="15" thickBot="1" x14ac:dyDescent="0.35">
      <c r="A3597" s="226" t="s">
        <v>1127</v>
      </c>
      <c r="B3597" s="223" t="str">
        <f>INDEX(Orçamentária!A:B,MATCH(Composições!A3597,Orçamentária!A:A,0),2)</f>
        <v>Grama Batatais em placas de 40 x 40 cm</v>
      </c>
      <c r="C3597" s="41"/>
      <c r="D3597" s="26" t="str">
        <f>TRIM(INDEX(Orçamentária!C:C,MATCH(Composições!A3597,Orçamentária!A:A,0),1))</f>
        <v>m2</v>
      </c>
      <c r="E3597" s="27"/>
      <c r="F3597" s="49" t="s">
        <v>560</v>
      </c>
      <c r="G3597" s="28" t="str">
        <f t="shared" si="61"/>
        <v/>
      </c>
      <c r="H3597" s="29"/>
      <c r="I3597" s="30"/>
      <c r="J3597" s="155">
        <v>1200</v>
      </c>
    </row>
    <row r="3598" spans="1:10" x14ac:dyDescent="0.3">
      <c r="A3598" s="229"/>
      <c r="B3598" s="224"/>
      <c r="C3598" s="32"/>
      <c r="D3598" s="32"/>
      <c r="E3598" s="33"/>
      <c r="F3598" s="54" t="s">
        <v>560</v>
      </c>
      <c r="G3598" s="54" t="str">
        <f t="shared" si="61"/>
        <v/>
      </c>
      <c r="H3598" s="73"/>
      <c r="I3598" s="74"/>
      <c r="J3598" s="155">
        <v>1200</v>
      </c>
    </row>
    <row r="3599" spans="1:10" x14ac:dyDescent="0.3">
      <c r="A3599" s="229"/>
      <c r="B3599" s="224"/>
      <c r="C3599" s="36" t="s">
        <v>1128</v>
      </c>
      <c r="D3599" s="50" t="s">
        <v>95</v>
      </c>
      <c r="E3599" s="37">
        <v>1</v>
      </c>
      <c r="F3599" s="54">
        <v>6.7915000000000001</v>
      </c>
      <c r="G3599" s="54">
        <f t="shared" si="61"/>
        <v>6.7915000000000001</v>
      </c>
      <c r="H3599" s="39">
        <f>SUM(G3599:G3609)</f>
        <v>46.768069963730994</v>
      </c>
      <c r="I3599" s="40"/>
      <c r="J3599" s="155">
        <v>1200</v>
      </c>
    </row>
    <row r="3600" spans="1:10" x14ac:dyDescent="0.3">
      <c r="A3600" s="229"/>
      <c r="B3600" s="224"/>
      <c r="C3600" s="36" t="s">
        <v>23</v>
      </c>
      <c r="D3600" s="36" t="s">
        <v>12</v>
      </c>
      <c r="E3600" s="37">
        <v>0.15640000000000001</v>
      </c>
      <c r="F3600" s="54">
        <v>14.968499999999999</v>
      </c>
      <c r="G3600" s="54">
        <f t="shared" si="61"/>
        <v>2.3410734</v>
      </c>
      <c r="H3600" s="73"/>
      <c r="I3600" s="74"/>
      <c r="J3600" s="155">
        <v>1200</v>
      </c>
    </row>
    <row r="3601" spans="1:10" x14ac:dyDescent="0.3">
      <c r="A3601" s="229"/>
      <c r="B3601" s="224"/>
      <c r="C3601" s="36" t="s">
        <v>1129</v>
      </c>
      <c r="D3601" s="36" t="s">
        <v>12</v>
      </c>
      <c r="E3601" s="37">
        <v>3.9100000000000003E-2</v>
      </c>
      <c r="F3601" s="54">
        <v>19.652000000000001</v>
      </c>
      <c r="G3601" s="54">
        <f t="shared" si="61"/>
        <v>0.76839320000000011</v>
      </c>
      <c r="H3601" s="73"/>
      <c r="I3601" s="74"/>
      <c r="J3601" s="155">
        <v>1200</v>
      </c>
    </row>
    <row r="3602" spans="1:10" x14ac:dyDescent="0.3">
      <c r="A3602" s="229"/>
      <c r="B3602" s="224"/>
      <c r="C3602" s="36" t="s">
        <v>23</v>
      </c>
      <c r="D3602" s="36" t="s">
        <v>12</v>
      </c>
      <c r="E3602" s="37">
        <f>1.6*0.25</f>
        <v>0.4</v>
      </c>
      <c r="F3602" s="54">
        <v>14.968499999999999</v>
      </c>
      <c r="G3602" s="54">
        <f t="shared" si="61"/>
        <v>5.9874000000000001</v>
      </c>
      <c r="H3602" s="73"/>
      <c r="I3602" s="74"/>
      <c r="J3602" s="155">
        <v>1200</v>
      </c>
    </row>
    <row r="3603" spans="1:10" ht="26.4" x14ac:dyDescent="0.3">
      <c r="A3603" s="229"/>
      <c r="B3603" s="224"/>
      <c r="C3603" s="36" t="s">
        <v>1130</v>
      </c>
      <c r="D3603" s="36" t="s">
        <v>42</v>
      </c>
      <c r="E3603" s="37">
        <f>1*0.25</f>
        <v>0.25</v>
      </c>
      <c r="F3603" s="54">
        <v>0.17</v>
      </c>
      <c r="G3603" s="54">
        <f t="shared" si="61"/>
        <v>4.2500000000000003E-2</v>
      </c>
      <c r="H3603" s="73"/>
      <c r="I3603" s="74"/>
      <c r="J3603" s="155">
        <v>1200</v>
      </c>
    </row>
    <row r="3604" spans="1:10" x14ac:dyDescent="0.3">
      <c r="A3604" s="229"/>
      <c r="B3604" s="224"/>
      <c r="C3604" s="36" t="s">
        <v>1131</v>
      </c>
      <c r="D3604" s="36" t="s">
        <v>110</v>
      </c>
      <c r="E3604" s="37">
        <f>0.9*0.25</f>
        <v>0.22500000000000001</v>
      </c>
      <c r="F3604" s="54">
        <v>132.95699999999999</v>
      </c>
      <c r="G3604" s="54">
        <f t="shared" si="61"/>
        <v>29.915324999999999</v>
      </c>
      <c r="H3604" s="73"/>
      <c r="I3604" s="74"/>
      <c r="J3604" s="155">
        <v>1200</v>
      </c>
    </row>
    <row r="3605" spans="1:10" x14ac:dyDescent="0.3">
      <c r="A3605" s="229"/>
      <c r="B3605" s="224"/>
      <c r="C3605" s="36" t="s">
        <v>1132</v>
      </c>
      <c r="D3605" s="47" t="s">
        <v>42</v>
      </c>
      <c r="E3605" s="37">
        <f>1*0.25</f>
        <v>0.25</v>
      </c>
      <c r="F3605" s="54">
        <v>3.5529999999999995</v>
      </c>
      <c r="G3605" s="54">
        <f t="shared" si="61"/>
        <v>0.88824999999999987</v>
      </c>
      <c r="H3605" s="73"/>
      <c r="I3605" s="74"/>
      <c r="J3605" s="155">
        <v>1200</v>
      </c>
    </row>
    <row r="3606" spans="1:10" x14ac:dyDescent="0.3">
      <c r="A3606" s="229"/>
      <c r="B3606" s="224"/>
      <c r="C3606" s="36" t="s">
        <v>1133</v>
      </c>
      <c r="D3606" s="47" t="s">
        <v>42</v>
      </c>
      <c r="E3606" s="37">
        <f>0.1*0.25</f>
        <v>2.5000000000000001E-2</v>
      </c>
      <c r="F3606" s="54">
        <v>1.0625</v>
      </c>
      <c r="G3606" s="54">
        <f t="shared" si="61"/>
        <v>2.6562500000000003E-2</v>
      </c>
      <c r="H3606" s="73"/>
      <c r="I3606" s="74"/>
      <c r="J3606" s="155">
        <v>1200</v>
      </c>
    </row>
    <row r="3607" spans="1:10" ht="26.4" x14ac:dyDescent="0.3">
      <c r="A3607" s="229"/>
      <c r="B3607" s="224"/>
      <c r="C3607" s="36" t="s">
        <v>121</v>
      </c>
      <c r="D3607" s="36" t="s">
        <v>1134</v>
      </c>
      <c r="E3607" s="37">
        <f>ROUND(1*E3603/1000,4)</f>
        <v>2.9999999999999997E-4</v>
      </c>
      <c r="F3607" s="34">
        <v>3.6075582699999997</v>
      </c>
      <c r="G3607" s="34">
        <f t="shared" si="61"/>
        <v>1.0822674809999999E-3</v>
      </c>
      <c r="H3607" s="35"/>
      <c r="I3607" s="31"/>
      <c r="J3607" s="155">
        <v>1200</v>
      </c>
    </row>
    <row r="3608" spans="1:10" ht="26.4" x14ac:dyDescent="0.3">
      <c r="A3608" s="229"/>
      <c r="B3608" s="224"/>
      <c r="C3608" s="36" t="s">
        <v>794</v>
      </c>
      <c r="D3608" s="36" t="s">
        <v>795</v>
      </c>
      <c r="E3608" s="37">
        <f>20*E3603*1/1000</f>
        <v>5.0000000000000001E-3</v>
      </c>
      <c r="F3608" s="54">
        <v>1.1967192499999999</v>
      </c>
      <c r="G3608" s="54">
        <f t="shared" si="61"/>
        <v>5.9835962499999997E-3</v>
      </c>
      <c r="H3608" s="73"/>
      <c r="I3608" s="74"/>
      <c r="J3608" s="155">
        <v>1200</v>
      </c>
    </row>
    <row r="3609" spans="1:10" x14ac:dyDescent="0.3">
      <c r="A3609" s="229"/>
      <c r="B3609" s="224"/>
      <c r="C3609" s="36"/>
      <c r="D3609" s="36"/>
      <c r="E3609" s="37"/>
      <c r="F3609" s="54" t="s">
        <v>560</v>
      </c>
      <c r="G3609" s="54" t="str">
        <f t="shared" si="61"/>
        <v/>
      </c>
      <c r="H3609" s="73"/>
      <c r="I3609" s="74"/>
      <c r="J3609" s="155">
        <v>1200</v>
      </c>
    </row>
    <row r="3610" spans="1:10" x14ac:dyDescent="0.3">
      <c r="A3610" s="229"/>
      <c r="B3610" s="224"/>
      <c r="C3610" s="48" t="s">
        <v>1135</v>
      </c>
      <c r="D3610" s="36"/>
      <c r="E3610" s="37"/>
      <c r="F3610" s="54" t="s">
        <v>560</v>
      </c>
      <c r="G3610" s="54" t="str">
        <f t="shared" si="61"/>
        <v/>
      </c>
      <c r="H3610" s="73"/>
      <c r="I3610" s="74"/>
      <c r="J3610" s="155">
        <v>1200</v>
      </c>
    </row>
    <row r="3611" spans="1:10" ht="15" thickBot="1" x14ac:dyDescent="0.35">
      <c r="A3611" s="230"/>
      <c r="B3611" s="225"/>
      <c r="C3611" s="36"/>
      <c r="D3611" s="36"/>
      <c r="E3611" s="37"/>
      <c r="F3611" s="54" t="s">
        <v>560</v>
      </c>
      <c r="G3611" s="54" t="str">
        <f t="shared" si="61"/>
        <v/>
      </c>
      <c r="H3611" s="73"/>
      <c r="I3611" s="74"/>
      <c r="J3611" s="155">
        <v>1200</v>
      </c>
    </row>
    <row r="3612" spans="1:10" ht="15" thickBot="1" x14ac:dyDescent="0.35">
      <c r="A3612" s="226" t="s">
        <v>1136</v>
      </c>
      <c r="B3612" s="223" t="str">
        <f>INDEX(Orçamentária!A:B,MATCH(Composições!A3612,Orçamentária!A:A,0),2)</f>
        <v>Pintura de meios-fios com tinta acrílica</v>
      </c>
      <c r="C3612" s="41"/>
      <c r="D3612" s="26" t="str">
        <f>TRIM(INDEX(Orçamentária!C:C,MATCH(Composições!A3612,Orçamentária!A:A,0),1))</f>
        <v>m</v>
      </c>
      <c r="E3612" s="27"/>
      <c r="F3612" s="49" t="s">
        <v>560</v>
      </c>
      <c r="G3612" s="28" t="str">
        <f t="shared" si="61"/>
        <v/>
      </c>
      <c r="H3612" s="29"/>
      <c r="I3612" s="30"/>
      <c r="J3612" s="155">
        <v>252.9</v>
      </c>
    </row>
    <row r="3613" spans="1:10" x14ac:dyDescent="0.3">
      <c r="A3613" s="227"/>
      <c r="B3613" s="224"/>
      <c r="C3613" s="32"/>
      <c r="D3613" s="32"/>
      <c r="E3613" s="33"/>
      <c r="F3613" s="54" t="s">
        <v>560</v>
      </c>
      <c r="G3613" s="54" t="str">
        <f t="shared" si="61"/>
        <v/>
      </c>
      <c r="H3613" s="73"/>
      <c r="I3613" s="74"/>
      <c r="J3613" s="155">
        <v>252.9</v>
      </c>
    </row>
    <row r="3614" spans="1:10" x14ac:dyDescent="0.3">
      <c r="A3614" s="227"/>
      <c r="B3614" s="224"/>
      <c r="C3614" s="36" t="s">
        <v>1137</v>
      </c>
      <c r="D3614" s="50" t="s">
        <v>103</v>
      </c>
      <c r="E3614" s="37">
        <f>ROUND(0.17/2*(0.25+0.13+0.25),4)</f>
        <v>5.3600000000000002E-2</v>
      </c>
      <c r="F3614" s="54">
        <v>13.115499999999999</v>
      </c>
      <c r="G3614" s="54">
        <f t="shared" si="61"/>
        <v>0.70299080000000003</v>
      </c>
      <c r="H3614" s="39">
        <f>SUM(G3614:G3616)</f>
        <v>4.2142643</v>
      </c>
      <c r="I3614" s="40"/>
      <c r="J3614" s="155">
        <v>252.9</v>
      </c>
    </row>
    <row r="3615" spans="1:10" x14ac:dyDescent="0.3">
      <c r="A3615" s="227"/>
      <c r="B3615" s="224"/>
      <c r="C3615" s="36" t="s">
        <v>1138</v>
      </c>
      <c r="D3615" s="36" t="s">
        <v>744</v>
      </c>
      <c r="E3615" s="37">
        <f>0.35*(0.25+0.13+0.25)/2</f>
        <v>0.11024999999999999</v>
      </c>
      <c r="F3615" s="54">
        <v>21.156500000000001</v>
      </c>
      <c r="G3615" s="54">
        <f t="shared" si="61"/>
        <v>2.3325041249999998</v>
      </c>
      <c r="H3615" s="73"/>
      <c r="I3615" s="74"/>
      <c r="J3615" s="155">
        <v>252.9</v>
      </c>
    </row>
    <row r="3616" spans="1:10" x14ac:dyDescent="0.3">
      <c r="A3616" s="227"/>
      <c r="B3616" s="224"/>
      <c r="C3616" s="36" t="s">
        <v>23</v>
      </c>
      <c r="D3616" s="36" t="s">
        <v>744</v>
      </c>
      <c r="E3616" s="37">
        <f>0.25*(0.25+0.13+0.25)/2</f>
        <v>7.8750000000000001E-2</v>
      </c>
      <c r="F3616" s="54">
        <v>14.968499999999999</v>
      </c>
      <c r="G3616" s="54">
        <f t="shared" si="61"/>
        <v>1.1787693749999999</v>
      </c>
      <c r="H3616" s="73"/>
      <c r="I3616" s="74"/>
      <c r="J3616" s="155">
        <v>252.9</v>
      </c>
    </row>
    <row r="3617" spans="1:10" x14ac:dyDescent="0.3">
      <c r="A3617" s="227"/>
      <c r="B3617" s="224"/>
      <c r="C3617" s="36"/>
      <c r="D3617" s="36"/>
      <c r="E3617" s="37"/>
      <c r="F3617" s="54" t="s">
        <v>560</v>
      </c>
      <c r="G3617" s="54" t="str">
        <f t="shared" si="61"/>
        <v/>
      </c>
      <c r="H3617" s="73"/>
      <c r="I3617" s="74"/>
      <c r="J3617" s="155">
        <v>252.9</v>
      </c>
    </row>
    <row r="3618" spans="1:10" ht="26.4" x14ac:dyDescent="0.3">
      <c r="A3618" s="227"/>
      <c r="B3618" s="224"/>
      <c r="C3618" s="48" t="s">
        <v>1139</v>
      </c>
      <c r="D3618" s="36"/>
      <c r="E3618" s="37"/>
      <c r="F3618" s="54" t="s">
        <v>560</v>
      </c>
      <c r="G3618" s="54" t="str">
        <f t="shared" si="61"/>
        <v/>
      </c>
      <c r="H3618" s="73"/>
      <c r="I3618" s="74"/>
      <c r="J3618" s="155">
        <v>252.9</v>
      </c>
    </row>
    <row r="3619" spans="1:10" ht="15" thickBot="1" x14ac:dyDescent="0.35">
      <c r="A3619" s="228"/>
      <c r="B3619" s="225"/>
      <c r="C3619" s="36"/>
      <c r="D3619" s="36"/>
      <c r="E3619" s="37"/>
      <c r="F3619" s="54" t="s">
        <v>560</v>
      </c>
      <c r="G3619" s="54" t="str">
        <f t="shared" si="61"/>
        <v/>
      </c>
      <c r="H3619" s="73"/>
      <c r="I3619" s="74"/>
      <c r="J3619" s="155">
        <v>252.9</v>
      </c>
    </row>
    <row r="3620" spans="1:10" ht="15" thickBot="1" x14ac:dyDescent="0.35">
      <c r="A3620" s="226" t="s">
        <v>1140</v>
      </c>
      <c r="B3620" s="223" t="str">
        <f>INDEX(Orçamentária!A:B,MATCH(Composições!A3620,Orçamentária!A:A,0),2)</f>
        <v>Meios-fios em concreto pré-moldado</v>
      </c>
      <c r="C3620" s="41"/>
      <c r="D3620" s="26" t="str">
        <f>TRIM(INDEX(Orçamentária!C:C,MATCH(Composições!A3620,Orçamentária!A:A,0),1))</f>
        <v>m</v>
      </c>
      <c r="E3620" s="27"/>
      <c r="F3620" s="49" t="s">
        <v>560</v>
      </c>
      <c r="G3620" s="28" t="str">
        <f t="shared" si="61"/>
        <v/>
      </c>
      <c r="H3620" s="29"/>
      <c r="I3620" s="30"/>
      <c r="J3620" s="155">
        <v>106.21</v>
      </c>
    </row>
    <row r="3621" spans="1:10" x14ac:dyDescent="0.3">
      <c r="A3621" s="229"/>
      <c r="B3621" s="224"/>
      <c r="C3621" s="32"/>
      <c r="D3621" s="32"/>
      <c r="E3621" s="33"/>
      <c r="F3621" s="54" t="s">
        <v>560</v>
      </c>
      <c r="G3621" s="54" t="str">
        <f t="shared" si="61"/>
        <v/>
      </c>
      <c r="H3621" s="73"/>
      <c r="I3621" s="74"/>
      <c r="J3621" s="155">
        <v>106.21</v>
      </c>
    </row>
    <row r="3622" spans="1:10" ht="26.4" x14ac:dyDescent="0.3">
      <c r="A3622" s="229"/>
      <c r="B3622" s="224"/>
      <c r="C3622" s="36" t="s">
        <v>793</v>
      </c>
      <c r="D3622" s="36" t="s">
        <v>110</v>
      </c>
      <c r="E3622" s="37">
        <v>7.0000000000000001E-3</v>
      </c>
      <c r="F3622" s="54">
        <v>76.5</v>
      </c>
      <c r="G3622" s="54">
        <f t="shared" si="61"/>
        <v>0.53549999999999998</v>
      </c>
      <c r="H3622" s="39">
        <f>SUM(G3622:G3630)</f>
        <v>43.525645953180984</v>
      </c>
      <c r="I3622" s="40"/>
      <c r="J3622" s="155">
        <v>106.21</v>
      </c>
    </row>
    <row r="3623" spans="1:10" ht="26.4" x14ac:dyDescent="0.3">
      <c r="A3623" s="229"/>
      <c r="B3623" s="224"/>
      <c r="C3623" s="36" t="s">
        <v>2031</v>
      </c>
      <c r="D3623" s="36" t="s">
        <v>93</v>
      </c>
      <c r="E3623" s="37">
        <v>1.0049999999999999</v>
      </c>
      <c r="F3623" s="54">
        <v>27.701500000000003</v>
      </c>
      <c r="G3623" s="54">
        <f t="shared" si="61"/>
        <v>27.840007499999999</v>
      </c>
      <c r="H3623" s="73"/>
      <c r="I3623" s="74"/>
      <c r="J3623" s="155">
        <v>106.21</v>
      </c>
    </row>
    <row r="3624" spans="1:10" x14ac:dyDescent="0.3">
      <c r="A3624" s="229"/>
      <c r="B3624" s="224"/>
      <c r="C3624" s="36" t="s">
        <v>22</v>
      </c>
      <c r="D3624" s="36" t="s">
        <v>12</v>
      </c>
      <c r="E3624" s="37">
        <v>0.39400000000000002</v>
      </c>
      <c r="F3624" s="54">
        <v>20.314999999999998</v>
      </c>
      <c r="G3624" s="54">
        <f t="shared" si="61"/>
        <v>8.0041099999999989</v>
      </c>
      <c r="H3624" s="73"/>
      <c r="I3624" s="74"/>
      <c r="J3624" s="155">
        <v>106.21</v>
      </c>
    </row>
    <row r="3625" spans="1:10" x14ac:dyDescent="0.3">
      <c r="A3625" s="229"/>
      <c r="B3625" s="224"/>
      <c r="C3625" s="36" t="s">
        <v>23</v>
      </c>
      <c r="D3625" s="36" t="s">
        <v>12</v>
      </c>
      <c r="E3625" s="37">
        <v>0.39400000000000002</v>
      </c>
      <c r="F3625" s="54">
        <v>14.968499999999999</v>
      </c>
      <c r="G3625" s="54">
        <f t="shared" si="61"/>
        <v>5.897589</v>
      </c>
      <c r="H3625" s="73"/>
      <c r="I3625" s="74"/>
      <c r="J3625" s="155">
        <v>106.21</v>
      </c>
    </row>
    <row r="3626" spans="1:10" ht="26.4" x14ac:dyDescent="0.3">
      <c r="A3626" s="229"/>
      <c r="B3626" s="224"/>
      <c r="C3626" s="36" t="s">
        <v>109</v>
      </c>
      <c r="D3626" s="36" t="s">
        <v>110</v>
      </c>
      <c r="E3626" s="37">
        <v>2E-3</v>
      </c>
      <c r="F3626" s="54">
        <v>480.04350944049992</v>
      </c>
      <c r="G3626" s="54">
        <f t="shared" si="61"/>
        <v>0.9600870188809999</v>
      </c>
      <c r="H3626" s="73"/>
      <c r="I3626" s="74"/>
      <c r="J3626" s="155">
        <v>106.21</v>
      </c>
    </row>
    <row r="3627" spans="1:10" ht="52.8" x14ac:dyDescent="0.3">
      <c r="A3627" s="229"/>
      <c r="B3627" s="224"/>
      <c r="C3627" s="36" t="s">
        <v>1931</v>
      </c>
      <c r="D3627" s="36" t="s">
        <v>110</v>
      </c>
      <c r="E3627" s="37">
        <f>1*E3622</f>
        <v>7.0000000000000001E-3</v>
      </c>
      <c r="F3627" s="34">
        <v>5.4059098999999993</v>
      </c>
      <c r="G3627" s="34">
        <f t="shared" si="61"/>
        <v>3.7841369299999997E-2</v>
      </c>
      <c r="H3627" s="35"/>
      <c r="I3627" s="31"/>
      <c r="J3627" s="155">
        <v>106.21</v>
      </c>
    </row>
    <row r="3628" spans="1:10" ht="26.4" x14ac:dyDescent="0.3">
      <c r="A3628" s="229"/>
      <c r="B3628" s="224"/>
      <c r="C3628" s="36" t="s">
        <v>123</v>
      </c>
      <c r="D3628" s="36" t="s">
        <v>124</v>
      </c>
      <c r="E3628" s="37">
        <f>0.007*20</f>
        <v>0.14000000000000001</v>
      </c>
      <c r="F3628" s="54">
        <v>1.7893647499999998</v>
      </c>
      <c r="G3628" s="54">
        <f t="shared" si="61"/>
        <v>0.25051106499999998</v>
      </c>
      <c r="H3628" s="73"/>
      <c r="I3628" s="74"/>
      <c r="J3628" s="155">
        <v>106.21</v>
      </c>
    </row>
    <row r="3629" spans="1:10" x14ac:dyDescent="0.3">
      <c r="A3629" s="229"/>
      <c r="B3629" s="224"/>
      <c r="C3629" s="36"/>
      <c r="D3629" s="36"/>
      <c r="E3629" s="37"/>
      <c r="F3629" s="54" t="s">
        <v>560</v>
      </c>
      <c r="G3629" s="54" t="str">
        <f t="shared" si="61"/>
        <v/>
      </c>
      <c r="H3629" s="73"/>
      <c r="I3629" s="74"/>
      <c r="J3629" s="155">
        <v>106.21</v>
      </c>
    </row>
    <row r="3630" spans="1:10" x14ac:dyDescent="0.3">
      <c r="A3630" s="229"/>
      <c r="B3630" s="224"/>
      <c r="C3630" s="48" t="s">
        <v>1141</v>
      </c>
      <c r="D3630" s="36"/>
      <c r="E3630" s="37"/>
      <c r="F3630" s="54" t="s">
        <v>560</v>
      </c>
      <c r="G3630" s="54" t="str">
        <f t="shared" si="61"/>
        <v/>
      </c>
      <c r="H3630" s="73"/>
      <c r="I3630" s="74"/>
      <c r="J3630" s="155">
        <v>106.21</v>
      </c>
    </row>
    <row r="3631" spans="1:10" ht="15" thickBot="1" x14ac:dyDescent="0.35">
      <c r="A3631" s="230"/>
      <c r="B3631" s="225"/>
      <c r="C3631" s="36"/>
      <c r="D3631" s="36"/>
      <c r="E3631" s="37"/>
      <c r="F3631" s="54" t="s">
        <v>560</v>
      </c>
      <c r="G3631" s="54" t="str">
        <f t="shared" si="61"/>
        <v/>
      </c>
      <c r="H3631" s="73"/>
      <c r="I3631" s="74"/>
      <c r="J3631" s="155">
        <v>106.21</v>
      </c>
    </row>
    <row r="3632" spans="1:10" ht="15" thickBot="1" x14ac:dyDescent="0.35">
      <c r="A3632" s="226" t="s">
        <v>1142</v>
      </c>
      <c r="B3632" s="223" t="str">
        <f>INDEX(Orçamentária!A:B,MATCH(Composições!A3632,Orçamentária!A:A,0),2)</f>
        <v>Tubo PEAD corrugado para drenagem – Diâmetro 100 mm</v>
      </c>
      <c r="C3632" s="41"/>
      <c r="D3632" s="26" t="str">
        <f>TRIM(INDEX(Orçamentária!C:C,MATCH(Composições!A3632,Orçamentária!A:A,0),1))</f>
        <v>m</v>
      </c>
      <c r="E3632" s="27"/>
      <c r="F3632" s="49" t="s">
        <v>560</v>
      </c>
      <c r="G3632" s="28" t="str">
        <f t="shared" si="61"/>
        <v/>
      </c>
      <c r="H3632" s="29"/>
      <c r="I3632" s="30"/>
      <c r="J3632" s="155">
        <v>50.1</v>
      </c>
    </row>
    <row r="3633" spans="1:10" x14ac:dyDescent="0.3">
      <c r="A3633" s="229"/>
      <c r="B3633" s="224"/>
      <c r="C3633" s="32"/>
      <c r="D3633" s="32"/>
      <c r="E3633" s="33"/>
      <c r="F3633" s="54" t="s">
        <v>560</v>
      </c>
      <c r="G3633" s="54" t="str">
        <f t="shared" si="61"/>
        <v/>
      </c>
      <c r="H3633" s="73"/>
      <c r="I3633" s="74"/>
      <c r="J3633" s="155">
        <v>50.1</v>
      </c>
    </row>
    <row r="3634" spans="1:10" ht="26.4" x14ac:dyDescent="0.3">
      <c r="A3634" s="229"/>
      <c r="B3634" s="224"/>
      <c r="C3634" s="36" t="s">
        <v>1143</v>
      </c>
      <c r="D3634" s="36" t="s">
        <v>122</v>
      </c>
      <c r="E3634" s="37">
        <v>0.23</v>
      </c>
      <c r="F3634" s="54">
        <v>112.42099999999999</v>
      </c>
      <c r="G3634" s="54">
        <f t="shared" si="61"/>
        <v>25.856829999999999</v>
      </c>
      <c r="H3634" s="39">
        <f>SUM(G3634:G3644)</f>
        <v>102.87354212699999</v>
      </c>
      <c r="I3634" s="40"/>
      <c r="J3634" s="155">
        <v>50.1</v>
      </c>
    </row>
    <row r="3635" spans="1:10" ht="39.6" x14ac:dyDescent="0.3">
      <c r="A3635" s="229"/>
      <c r="B3635" s="224"/>
      <c r="C3635" s="36" t="s">
        <v>1145</v>
      </c>
      <c r="D3635" s="36" t="s">
        <v>515</v>
      </c>
      <c r="E3635" s="37">
        <v>1.01</v>
      </c>
      <c r="F3635" s="54">
        <v>8.3724999999999987</v>
      </c>
      <c r="G3635" s="54">
        <f t="shared" si="61"/>
        <v>8.4562249999999981</v>
      </c>
      <c r="H3635" s="73"/>
      <c r="I3635" s="74"/>
      <c r="J3635" s="155">
        <v>50.1</v>
      </c>
    </row>
    <row r="3636" spans="1:10" ht="26.4" x14ac:dyDescent="0.3">
      <c r="A3636" s="229"/>
      <c r="B3636" s="224"/>
      <c r="C3636" s="36" t="s">
        <v>995</v>
      </c>
      <c r="D3636" s="36" t="s">
        <v>744</v>
      </c>
      <c r="E3636" s="37">
        <v>0.5</v>
      </c>
      <c r="F3636" s="54">
        <v>19.898499999999999</v>
      </c>
      <c r="G3636" s="54">
        <f t="shared" si="61"/>
        <v>9.9492499999999993</v>
      </c>
      <c r="H3636" s="73"/>
      <c r="I3636" s="74"/>
      <c r="J3636" s="155">
        <v>50.1</v>
      </c>
    </row>
    <row r="3637" spans="1:10" x14ac:dyDescent="0.3">
      <c r="A3637" s="229"/>
      <c r="B3637" s="224"/>
      <c r="C3637" s="36" t="s">
        <v>745</v>
      </c>
      <c r="D3637" s="36" t="s">
        <v>744</v>
      </c>
      <c r="E3637" s="37">
        <v>0.7</v>
      </c>
      <c r="F3637" s="54">
        <v>14.968499999999999</v>
      </c>
      <c r="G3637" s="54">
        <f t="shared" si="61"/>
        <v>10.477949999999998</v>
      </c>
      <c r="H3637" s="73"/>
      <c r="I3637" s="74"/>
      <c r="J3637" s="155">
        <v>50.1</v>
      </c>
    </row>
    <row r="3638" spans="1:10" ht="26.4" x14ac:dyDescent="0.3">
      <c r="A3638" s="229"/>
      <c r="B3638" s="224"/>
      <c r="C3638" s="36" t="s">
        <v>1789</v>
      </c>
      <c r="D3638" s="36" t="s">
        <v>1035</v>
      </c>
      <c r="E3638" s="37">
        <v>2.2000000000000002</v>
      </c>
      <c r="F3638" s="54">
        <v>14.050500000000001</v>
      </c>
      <c r="G3638" s="54">
        <f t="shared" si="61"/>
        <v>30.911100000000005</v>
      </c>
      <c r="H3638" s="73"/>
      <c r="I3638" s="74"/>
      <c r="J3638" s="155">
        <v>50.1</v>
      </c>
    </row>
    <row r="3639" spans="1:10" x14ac:dyDescent="0.3">
      <c r="A3639" s="229"/>
      <c r="B3639" s="224"/>
      <c r="C3639" s="36" t="s">
        <v>108</v>
      </c>
      <c r="D3639" s="36" t="s">
        <v>744</v>
      </c>
      <c r="E3639" s="37">
        <v>0.5</v>
      </c>
      <c r="F3639" s="54">
        <v>15.4955</v>
      </c>
      <c r="G3639" s="54">
        <f t="shared" si="61"/>
        <v>7.7477499999999999</v>
      </c>
      <c r="H3639" s="73"/>
      <c r="I3639" s="74"/>
      <c r="J3639" s="155">
        <v>50.1</v>
      </c>
    </row>
    <row r="3640" spans="1:10" ht="52.8" x14ac:dyDescent="0.3">
      <c r="A3640" s="229"/>
      <c r="B3640" s="224"/>
      <c r="C3640" s="36" t="s">
        <v>1931</v>
      </c>
      <c r="D3640" s="36" t="s">
        <v>110</v>
      </c>
      <c r="E3640" s="37">
        <f>1*E3634</f>
        <v>0.23</v>
      </c>
      <c r="F3640" s="34">
        <v>5.4059098999999993</v>
      </c>
      <c r="G3640" s="34">
        <f t="shared" si="61"/>
        <v>1.2433592769999999</v>
      </c>
      <c r="H3640" s="35"/>
      <c r="I3640" s="31"/>
      <c r="J3640" s="155">
        <v>50.1</v>
      </c>
    </row>
    <row r="3641" spans="1:10" ht="26.4" x14ac:dyDescent="0.3">
      <c r="A3641" s="229"/>
      <c r="B3641" s="224"/>
      <c r="C3641" s="36" t="s">
        <v>123</v>
      </c>
      <c r="D3641" s="36" t="s">
        <v>124</v>
      </c>
      <c r="E3641" s="37">
        <f>E3634*20</f>
        <v>4.6000000000000005</v>
      </c>
      <c r="F3641" s="54">
        <v>1.7893647499999998</v>
      </c>
      <c r="G3641" s="54">
        <f t="shared" si="61"/>
        <v>8.2310778500000001</v>
      </c>
      <c r="H3641" s="73"/>
      <c r="I3641" s="74"/>
      <c r="J3641" s="155">
        <v>50.1</v>
      </c>
    </row>
    <row r="3642" spans="1:10" x14ac:dyDescent="0.3">
      <c r="A3642" s="229"/>
      <c r="B3642" s="224"/>
      <c r="C3642" s="36"/>
      <c r="D3642" s="36"/>
      <c r="E3642" s="37"/>
      <c r="F3642" s="54" t="s">
        <v>560</v>
      </c>
      <c r="G3642" s="54" t="str">
        <f t="shared" si="61"/>
        <v/>
      </c>
      <c r="H3642" s="73"/>
      <c r="I3642" s="74"/>
      <c r="J3642" s="155">
        <v>50.1</v>
      </c>
    </row>
    <row r="3643" spans="1:10" x14ac:dyDescent="0.3">
      <c r="A3643" s="229"/>
      <c r="B3643" s="224"/>
      <c r="C3643" s="48" t="s">
        <v>1147</v>
      </c>
      <c r="D3643" s="36"/>
      <c r="E3643" s="37"/>
      <c r="F3643" s="54" t="s">
        <v>560</v>
      </c>
      <c r="G3643" s="54" t="str">
        <f t="shared" si="61"/>
        <v/>
      </c>
      <c r="H3643" s="73"/>
      <c r="I3643" s="74"/>
      <c r="J3643" s="155">
        <v>50.1</v>
      </c>
    </row>
    <row r="3644" spans="1:10" ht="15" thickBot="1" x14ac:dyDescent="0.35">
      <c r="A3644" s="229"/>
      <c r="B3644" s="224"/>
      <c r="C3644" s="36"/>
      <c r="D3644" s="36"/>
      <c r="E3644" s="37"/>
      <c r="F3644" s="54" t="s">
        <v>560</v>
      </c>
      <c r="G3644" s="54" t="str">
        <f t="shared" si="61"/>
        <v/>
      </c>
      <c r="H3644" s="73"/>
      <c r="I3644" s="74"/>
      <c r="J3644" s="155">
        <v>50.1</v>
      </c>
    </row>
    <row r="3645" spans="1:10" ht="15" hidden="1" thickBot="1" x14ac:dyDescent="0.35">
      <c r="A3645" s="226" t="s">
        <v>1148</v>
      </c>
      <c r="B3645" s="223" t="e">
        <f>INDEX(#REF!,MATCH(Composições!A3645,#REF!,0),2)</f>
        <v>#REF!</v>
      </c>
      <c r="C3645" s="41"/>
      <c r="D3645" s="26" t="e">
        <f>TRIM(INDEX(#REF!,MATCH(Composições!A3645,#REF!,0),1))</f>
        <v>#REF!</v>
      </c>
      <c r="E3645" s="27"/>
      <c r="F3645" s="49" t="s">
        <v>560</v>
      </c>
      <c r="G3645" s="28" t="str">
        <f t="shared" si="61"/>
        <v/>
      </c>
      <c r="H3645" s="29"/>
      <c r="I3645" s="30"/>
      <c r="J3645" s="155">
        <v>0</v>
      </c>
    </row>
    <row r="3646" spans="1:10" ht="15" hidden="1" thickBot="1" x14ac:dyDescent="0.35">
      <c r="A3646" s="229"/>
      <c r="B3646" s="224"/>
      <c r="C3646" s="32"/>
      <c r="D3646" s="32"/>
      <c r="E3646" s="33"/>
      <c r="F3646" s="54" t="s">
        <v>560</v>
      </c>
      <c r="G3646" s="54" t="str">
        <f t="shared" si="61"/>
        <v/>
      </c>
      <c r="H3646" s="73"/>
      <c r="I3646" s="74"/>
      <c r="J3646" s="155">
        <v>0</v>
      </c>
    </row>
    <row r="3647" spans="1:10" ht="15" hidden="1" thickBot="1" x14ac:dyDescent="0.35">
      <c r="A3647" s="229"/>
      <c r="B3647" s="224"/>
      <c r="C3647" s="36" t="s">
        <v>22</v>
      </c>
      <c r="D3647" s="36" t="s">
        <v>12</v>
      </c>
      <c r="E3647" s="37">
        <f>0.1+0.1</f>
        <v>0.2</v>
      </c>
      <c r="F3647" s="54">
        <v>20.314999999999998</v>
      </c>
      <c r="G3647" s="54">
        <f t="shared" si="61"/>
        <v>4.0629999999999997</v>
      </c>
      <c r="H3647" s="39">
        <f>SUM(G3647:G3652)</f>
        <v>21.781689029743003</v>
      </c>
      <c r="I3647" s="40"/>
      <c r="J3647" s="155">
        <v>0</v>
      </c>
    </row>
    <row r="3648" spans="1:10" ht="15" hidden="1" thickBot="1" x14ac:dyDescent="0.35">
      <c r="A3648" s="229"/>
      <c r="B3648" s="224"/>
      <c r="C3648" s="36" t="s">
        <v>23</v>
      </c>
      <c r="D3648" s="36" t="s">
        <v>12</v>
      </c>
      <c r="E3648" s="37">
        <f>0.1+0.1</f>
        <v>0.2</v>
      </c>
      <c r="F3648" s="54">
        <v>14.968499999999999</v>
      </c>
      <c r="G3648" s="54">
        <f t="shared" si="61"/>
        <v>2.9937</v>
      </c>
      <c r="H3648" s="73"/>
      <c r="I3648" s="74"/>
      <c r="J3648" s="155">
        <v>0</v>
      </c>
    </row>
    <row r="3649" spans="1:10" ht="15" hidden="1" thickBot="1" x14ac:dyDescent="0.35">
      <c r="A3649" s="229"/>
      <c r="B3649" s="224"/>
      <c r="C3649" s="36" t="s">
        <v>1070</v>
      </c>
      <c r="D3649" s="36" t="s">
        <v>147</v>
      </c>
      <c r="E3649" s="37">
        <f>0.016*2</f>
        <v>3.2000000000000001E-2</v>
      </c>
      <c r="F3649" s="54">
        <v>176.05199999999999</v>
      </c>
      <c r="G3649" s="54">
        <f t="shared" ref="G3649:G3712" si="62">IF(ISNUMBER(F3649),E3649*F3649,"")</f>
        <v>5.6336639999999996</v>
      </c>
      <c r="H3649" s="73"/>
      <c r="I3649" s="74"/>
      <c r="J3649" s="155">
        <v>0</v>
      </c>
    </row>
    <row r="3650" spans="1:10" ht="15" hidden="1" thickBot="1" x14ac:dyDescent="0.35">
      <c r="A3650" s="229"/>
      <c r="B3650" s="224"/>
      <c r="C3650" s="36" t="s">
        <v>1071</v>
      </c>
      <c r="D3650" s="36" t="s">
        <v>1072</v>
      </c>
      <c r="E3650" s="37">
        <f>0.1*2</f>
        <v>0.2</v>
      </c>
      <c r="F3650" s="54">
        <v>44.591000000000001</v>
      </c>
      <c r="G3650" s="54">
        <f t="shared" si="62"/>
        <v>8.9182000000000006</v>
      </c>
      <c r="H3650" s="73"/>
      <c r="I3650" s="74"/>
      <c r="J3650" s="155">
        <v>0</v>
      </c>
    </row>
    <row r="3651" spans="1:10" ht="15" hidden="1" thickBot="1" x14ac:dyDescent="0.35">
      <c r="A3651" s="229"/>
      <c r="B3651" s="224"/>
      <c r="C3651" s="36" t="s">
        <v>1149</v>
      </c>
      <c r="D3651" s="36" t="s">
        <v>147</v>
      </c>
      <c r="E3651" s="37">
        <v>1</v>
      </c>
      <c r="F3651" s="54" t="s">
        <v>560</v>
      </c>
      <c r="G3651" s="54" t="str">
        <f t="shared" si="62"/>
        <v/>
      </c>
      <c r="H3651" s="73"/>
      <c r="I3651" s="74"/>
      <c r="J3651" s="155">
        <v>0</v>
      </c>
    </row>
    <row r="3652" spans="1:10" ht="40.200000000000003" hidden="1" thickBot="1" x14ac:dyDescent="0.35">
      <c r="A3652" s="229"/>
      <c r="B3652" s="224"/>
      <c r="C3652" s="36" t="s">
        <v>1073</v>
      </c>
      <c r="D3652" s="36" t="s">
        <v>110</v>
      </c>
      <c r="E3652" s="37">
        <f>ROUND(0.15*0.05*0.05,4)</f>
        <v>4.0000000000000002E-4</v>
      </c>
      <c r="F3652" s="54">
        <v>432.81257435750001</v>
      </c>
      <c r="G3652" s="54">
        <f t="shared" si="62"/>
        <v>0.17312502974300001</v>
      </c>
      <c r="H3652" s="73"/>
      <c r="I3652" s="74"/>
      <c r="J3652" s="155">
        <v>0</v>
      </c>
    </row>
    <row r="3653" spans="1:10" ht="15" hidden="1" thickBot="1" x14ac:dyDescent="0.35">
      <c r="A3653" s="229"/>
      <c r="B3653" s="224"/>
      <c r="C3653" s="36"/>
      <c r="D3653" s="36"/>
      <c r="E3653" s="37"/>
      <c r="F3653" s="54" t="s">
        <v>560</v>
      </c>
      <c r="G3653" s="54" t="str">
        <f t="shared" si="62"/>
        <v/>
      </c>
      <c r="H3653" s="73"/>
      <c r="I3653" s="74"/>
      <c r="J3653" s="155">
        <v>0</v>
      </c>
    </row>
    <row r="3654" spans="1:10" ht="15" hidden="1" thickBot="1" x14ac:dyDescent="0.35">
      <c r="A3654" s="229"/>
      <c r="B3654" s="224"/>
      <c r="C3654" s="152" t="s">
        <v>1074</v>
      </c>
      <c r="D3654" s="36"/>
      <c r="E3654" s="37"/>
      <c r="F3654" s="54" t="s">
        <v>560</v>
      </c>
      <c r="G3654" s="54" t="str">
        <f t="shared" si="62"/>
        <v/>
      </c>
      <c r="H3654" s="73"/>
      <c r="I3654" s="74"/>
      <c r="J3654" s="155">
        <v>0</v>
      </c>
    </row>
    <row r="3655" spans="1:10" ht="15" hidden="1" thickBot="1" x14ac:dyDescent="0.35">
      <c r="A3655" s="230"/>
      <c r="B3655" s="225"/>
      <c r="C3655" s="55"/>
      <c r="D3655" s="55"/>
      <c r="E3655" s="66"/>
      <c r="F3655" s="76" t="s">
        <v>560</v>
      </c>
      <c r="G3655" s="76" t="str">
        <f t="shared" si="62"/>
        <v/>
      </c>
      <c r="H3655" s="77"/>
      <c r="I3655" s="74"/>
      <c r="J3655" s="155">
        <v>0</v>
      </c>
    </row>
    <row r="3656" spans="1:10" ht="15" thickBot="1" x14ac:dyDescent="0.35">
      <c r="A3656" s="226" t="s">
        <v>1150</v>
      </c>
      <c r="B3656" s="223" t="str">
        <f>INDEX(Orçamentária!A:B,MATCH(Composições!A3656,Orçamentária!A:A,0),2)</f>
        <v>Locação de Container - Escritório</v>
      </c>
      <c r="C3656" s="41"/>
      <c r="D3656" s="26" t="str">
        <f>TRIM(INDEX(Orçamentária!C:C,MATCH(Composições!A3656,Orçamentária!A:A,0),1))</f>
        <v>mês</v>
      </c>
      <c r="E3656" s="27"/>
      <c r="F3656" s="49" t="s">
        <v>560</v>
      </c>
      <c r="G3656" s="28" t="str">
        <f t="shared" si="62"/>
        <v/>
      </c>
      <c r="H3656" s="29"/>
      <c r="I3656" s="30"/>
      <c r="J3656" s="155">
        <v>12</v>
      </c>
    </row>
    <row r="3657" spans="1:10" x14ac:dyDescent="0.3">
      <c r="A3657" s="227"/>
      <c r="B3657" s="224"/>
      <c r="C3657" s="32"/>
      <c r="D3657" s="32"/>
      <c r="E3657" s="33"/>
      <c r="F3657" s="54" t="s">
        <v>560</v>
      </c>
      <c r="G3657" s="54" t="str">
        <f t="shared" si="62"/>
        <v/>
      </c>
      <c r="H3657" s="73"/>
      <c r="I3657" s="74"/>
      <c r="J3657" s="155">
        <v>12</v>
      </c>
    </row>
    <row r="3658" spans="1:10" ht="39.6" x14ac:dyDescent="0.3">
      <c r="A3658" s="227"/>
      <c r="B3658" s="224"/>
      <c r="C3658" s="36" t="s">
        <v>1151</v>
      </c>
      <c r="D3658" s="50" t="s">
        <v>129</v>
      </c>
      <c r="E3658" s="37">
        <v>1</v>
      </c>
      <c r="F3658" s="54">
        <v>497.25</v>
      </c>
      <c r="G3658" s="54">
        <f t="shared" si="62"/>
        <v>497.25</v>
      </c>
      <c r="H3658" s="39">
        <f>SUM(G3658:G3658)</f>
        <v>497.25</v>
      </c>
      <c r="I3658" s="40"/>
      <c r="J3658" s="155">
        <v>12</v>
      </c>
    </row>
    <row r="3659" spans="1:10" ht="15" thickBot="1" x14ac:dyDescent="0.35">
      <c r="A3659" s="228"/>
      <c r="B3659" s="225"/>
      <c r="C3659" s="36"/>
      <c r="D3659" s="36"/>
      <c r="E3659" s="37"/>
      <c r="F3659" s="54" t="s">
        <v>560</v>
      </c>
      <c r="G3659" s="54" t="str">
        <f t="shared" si="62"/>
        <v/>
      </c>
      <c r="H3659" s="73"/>
      <c r="I3659" s="74"/>
      <c r="J3659" s="155">
        <v>12</v>
      </c>
    </row>
    <row r="3660" spans="1:10" ht="15" hidden="1" thickBot="1" x14ac:dyDescent="0.35">
      <c r="A3660" s="226" t="s">
        <v>1152</v>
      </c>
      <c r="B3660" s="223" t="e">
        <f>INDEX(#REF!,MATCH(Composições!A3660,#REF!,0),2)</f>
        <v>#REF!</v>
      </c>
      <c r="C3660" s="41"/>
      <c r="D3660" s="26" t="e">
        <f>TRIM(INDEX(#REF!,MATCH(Composições!A3660,#REF!,0),1))</f>
        <v>#REF!</v>
      </c>
      <c r="E3660" s="27"/>
      <c r="F3660" s="42" t="s">
        <v>560</v>
      </c>
      <c r="G3660" s="28" t="str">
        <f t="shared" si="62"/>
        <v/>
      </c>
      <c r="H3660" s="29"/>
      <c r="I3660" s="30"/>
      <c r="J3660" s="155">
        <v>0</v>
      </c>
    </row>
    <row r="3661" spans="1:10" ht="15" hidden="1" thickBot="1" x14ac:dyDescent="0.35">
      <c r="A3661" s="229"/>
      <c r="B3661" s="224"/>
      <c r="C3661" s="32"/>
      <c r="D3661" s="32"/>
      <c r="E3661" s="33"/>
      <c r="F3661" s="43" t="s">
        <v>560</v>
      </c>
      <c r="G3661" s="31" t="str">
        <f t="shared" si="62"/>
        <v/>
      </c>
      <c r="H3661" s="35"/>
      <c r="I3661" s="31"/>
      <c r="J3661" s="155">
        <v>0</v>
      </c>
    </row>
    <row r="3662" spans="1:10" ht="27" hidden="1" thickBot="1" x14ac:dyDescent="0.35">
      <c r="A3662" s="229"/>
      <c r="B3662" s="224"/>
      <c r="C3662" s="36" t="s">
        <v>1153</v>
      </c>
      <c r="D3662" s="36" t="s">
        <v>983</v>
      </c>
      <c r="E3662" s="37">
        <v>0.183</v>
      </c>
      <c r="F3662" s="31">
        <v>18.904</v>
      </c>
      <c r="G3662" s="31">
        <f t="shared" si="62"/>
        <v>3.4594320000000001</v>
      </c>
      <c r="H3662" s="39">
        <f>SUM(G3662:G3668)</f>
        <v>33.306159075524</v>
      </c>
      <c r="I3662" s="40"/>
      <c r="J3662" s="155">
        <v>0</v>
      </c>
    </row>
    <row r="3663" spans="1:10" ht="27" hidden="1" thickBot="1" x14ac:dyDescent="0.35">
      <c r="A3663" s="229"/>
      <c r="B3663" s="224"/>
      <c r="C3663" s="36" t="s">
        <v>1154</v>
      </c>
      <c r="D3663" s="36" t="s">
        <v>985</v>
      </c>
      <c r="E3663" s="37">
        <v>0.40100000000000002</v>
      </c>
      <c r="F3663" s="31">
        <v>17.442</v>
      </c>
      <c r="G3663" s="31">
        <f t="shared" si="62"/>
        <v>6.9942420000000007</v>
      </c>
      <c r="H3663" s="35"/>
      <c r="I3663" s="31"/>
      <c r="J3663" s="155">
        <v>0</v>
      </c>
    </row>
    <row r="3664" spans="1:10" ht="15" hidden="1" thickBot="1" x14ac:dyDescent="0.35">
      <c r="A3664" s="229"/>
      <c r="B3664" s="224"/>
      <c r="C3664" s="36" t="s">
        <v>108</v>
      </c>
      <c r="D3664" s="36" t="s">
        <v>12</v>
      </c>
      <c r="E3664" s="37">
        <v>9.0999999999999998E-2</v>
      </c>
      <c r="F3664" s="31">
        <v>15.4955</v>
      </c>
      <c r="G3664" s="31">
        <f t="shared" si="62"/>
        <v>1.4100904999999999</v>
      </c>
      <c r="H3664" s="35"/>
      <c r="I3664" s="31"/>
      <c r="J3664" s="155">
        <v>0</v>
      </c>
    </row>
    <row r="3665" spans="1:10" ht="15" hidden="1" thickBot="1" x14ac:dyDescent="0.35">
      <c r="A3665" s="229"/>
      <c r="B3665" s="224"/>
      <c r="C3665" s="36" t="s">
        <v>39</v>
      </c>
      <c r="D3665" s="47" t="s">
        <v>12</v>
      </c>
      <c r="E3665" s="37">
        <v>0.58299999999999996</v>
      </c>
      <c r="F3665" s="31">
        <v>19.898499999999999</v>
      </c>
      <c r="G3665" s="31">
        <f t="shared" si="62"/>
        <v>11.600825499999999</v>
      </c>
      <c r="H3665" s="35"/>
      <c r="I3665" s="31"/>
      <c r="J3665" s="155">
        <v>0</v>
      </c>
    </row>
    <row r="3666" spans="1:10" ht="15" hidden="1" thickBot="1" x14ac:dyDescent="0.35">
      <c r="A3666" s="229"/>
      <c r="B3666" s="224"/>
      <c r="C3666" s="36" t="s">
        <v>108</v>
      </c>
      <c r="D3666" s="36" t="s">
        <v>12</v>
      </c>
      <c r="E3666" s="37">
        <v>3.7999999999999999E-2</v>
      </c>
      <c r="F3666" s="31">
        <v>15.4955</v>
      </c>
      <c r="G3666" s="31">
        <f t="shared" si="62"/>
        <v>0.58882899999999994</v>
      </c>
      <c r="H3666" s="35"/>
      <c r="I3666" s="31"/>
      <c r="J3666" s="155">
        <v>0</v>
      </c>
    </row>
    <row r="3667" spans="1:10" ht="15" hidden="1" thickBot="1" x14ac:dyDescent="0.35">
      <c r="A3667" s="229"/>
      <c r="B3667" s="224"/>
      <c r="C3667" s="36" t="s">
        <v>39</v>
      </c>
      <c r="D3667" s="47" t="s">
        <v>12</v>
      </c>
      <c r="E3667" s="37">
        <v>0.27200000000000002</v>
      </c>
      <c r="F3667" s="31">
        <v>19.898499999999999</v>
      </c>
      <c r="G3667" s="31">
        <f t="shared" si="62"/>
        <v>5.4123919999999996</v>
      </c>
      <c r="H3667" s="35"/>
      <c r="I3667" s="31"/>
      <c r="J3667" s="155">
        <v>0</v>
      </c>
    </row>
    <row r="3668" spans="1:10" ht="27" hidden="1" thickBot="1" x14ac:dyDescent="0.35">
      <c r="A3668" s="229"/>
      <c r="B3668" s="224"/>
      <c r="C3668" s="36" t="s">
        <v>109</v>
      </c>
      <c r="D3668" s="36" t="s">
        <v>110</v>
      </c>
      <c r="E3668" s="37">
        <v>8.0000000000000002E-3</v>
      </c>
      <c r="F3668" s="34">
        <v>480.04350944049992</v>
      </c>
      <c r="G3668" s="34">
        <f t="shared" si="62"/>
        <v>3.8403480755239996</v>
      </c>
      <c r="H3668" s="35"/>
      <c r="I3668" s="31"/>
      <c r="J3668" s="155">
        <v>0</v>
      </c>
    </row>
    <row r="3669" spans="1:10" ht="15" hidden="1" thickBot="1" x14ac:dyDescent="0.35">
      <c r="A3669" s="230"/>
      <c r="B3669" s="225"/>
      <c r="C3669" s="36"/>
      <c r="D3669" s="36"/>
      <c r="E3669" s="37"/>
      <c r="F3669" s="31" t="s">
        <v>560</v>
      </c>
      <c r="G3669" s="31" t="str">
        <f t="shared" si="62"/>
        <v/>
      </c>
      <c r="H3669" s="35"/>
      <c r="I3669" s="31"/>
      <c r="J3669" s="155">
        <v>0</v>
      </c>
    </row>
    <row r="3670" spans="1:10" ht="15" hidden="1" thickBot="1" x14ac:dyDescent="0.35">
      <c r="A3670" s="226" t="s">
        <v>1155</v>
      </c>
      <c r="B3670" s="223" t="e">
        <f>INDEX(#REF!,MATCH(Composições!A3670,#REF!,0),2)</f>
        <v>#REF!</v>
      </c>
      <c r="C3670" s="41"/>
      <c r="D3670" s="26" t="e">
        <f>TRIM(INDEX(#REF!,MATCH(Composições!A3670,#REF!,0),1))</f>
        <v>#REF!</v>
      </c>
      <c r="E3670" s="27"/>
      <c r="F3670" s="49" t="s">
        <v>560</v>
      </c>
      <c r="G3670" s="28" t="str">
        <f t="shared" si="62"/>
        <v/>
      </c>
      <c r="H3670" s="29"/>
      <c r="I3670" s="30"/>
      <c r="J3670" s="155">
        <v>0</v>
      </c>
    </row>
    <row r="3671" spans="1:10" ht="15" hidden="1" thickBot="1" x14ac:dyDescent="0.35">
      <c r="A3671" s="227"/>
      <c r="B3671" s="224"/>
      <c r="C3671" s="32"/>
      <c r="D3671" s="32"/>
      <c r="E3671" s="33"/>
      <c r="F3671" s="54" t="s">
        <v>560</v>
      </c>
      <c r="G3671" s="54" t="str">
        <f t="shared" si="62"/>
        <v/>
      </c>
      <c r="H3671" s="73"/>
      <c r="I3671" s="74"/>
      <c r="J3671" s="155">
        <v>0</v>
      </c>
    </row>
    <row r="3672" spans="1:10" ht="15" hidden="1" thickBot="1" x14ac:dyDescent="0.35">
      <c r="A3672" s="227"/>
      <c r="B3672" s="224"/>
      <c r="C3672" s="36" t="s">
        <v>1932</v>
      </c>
      <c r="D3672" s="50" t="s">
        <v>42</v>
      </c>
      <c r="E3672" s="37">
        <v>0.25900000000000001</v>
      </c>
      <c r="F3672" s="54">
        <v>2.2440000000000002</v>
      </c>
      <c r="G3672" s="54">
        <f t="shared" si="62"/>
        <v>0.58119600000000005</v>
      </c>
      <c r="H3672" s="39">
        <f>SUM(G3672:G3673)</f>
        <v>8.0654459999999997</v>
      </c>
      <c r="I3672" s="40"/>
      <c r="J3672" s="155">
        <v>0</v>
      </c>
    </row>
    <row r="3673" spans="1:10" ht="15" hidden="1" thickBot="1" x14ac:dyDescent="0.35">
      <c r="A3673" s="227"/>
      <c r="B3673" s="224"/>
      <c r="C3673" s="36" t="s">
        <v>23</v>
      </c>
      <c r="D3673" s="36" t="s">
        <v>12</v>
      </c>
      <c r="E3673" s="37">
        <f>0.25*2</f>
        <v>0.5</v>
      </c>
      <c r="F3673" s="54">
        <v>14.968499999999999</v>
      </c>
      <c r="G3673" s="54">
        <f t="shared" si="62"/>
        <v>7.4842499999999994</v>
      </c>
      <c r="H3673" s="73"/>
      <c r="I3673" s="74"/>
      <c r="J3673" s="155">
        <v>0</v>
      </c>
    </row>
    <row r="3674" spans="1:10" ht="15" hidden="1" thickBot="1" x14ac:dyDescent="0.35">
      <c r="A3674" s="228"/>
      <c r="B3674" s="225"/>
      <c r="C3674" s="36"/>
      <c r="D3674" s="36"/>
      <c r="E3674" s="37"/>
      <c r="F3674" s="54" t="s">
        <v>560</v>
      </c>
      <c r="G3674" s="54" t="str">
        <f t="shared" si="62"/>
        <v/>
      </c>
      <c r="H3674" s="73"/>
      <c r="I3674" s="74"/>
      <c r="J3674" s="155">
        <v>0</v>
      </c>
    </row>
    <row r="3675" spans="1:10" ht="15" hidden="1" thickBot="1" x14ac:dyDescent="0.35">
      <c r="A3675" s="226" t="s">
        <v>1156</v>
      </c>
      <c r="B3675" s="223" t="e">
        <f>INDEX(#REF!,MATCH(Composições!A3675,#REF!,0),2)</f>
        <v>#REF!</v>
      </c>
      <c r="C3675" s="41"/>
      <c r="D3675" s="26" t="e">
        <f>TRIM(INDEX(#REF!,MATCH(Composições!A3675,#REF!,0),1))</f>
        <v>#REF!</v>
      </c>
      <c r="E3675" s="27"/>
      <c r="F3675" s="49" t="s">
        <v>560</v>
      </c>
      <c r="G3675" s="28" t="str">
        <f t="shared" si="62"/>
        <v/>
      </c>
      <c r="H3675" s="29"/>
      <c r="I3675" s="30"/>
      <c r="J3675" s="155">
        <v>0</v>
      </c>
    </row>
    <row r="3676" spans="1:10" ht="15" hidden="1" thickBot="1" x14ac:dyDescent="0.35">
      <c r="A3676" s="227"/>
      <c r="B3676" s="224"/>
      <c r="C3676" s="32"/>
      <c r="D3676" s="32"/>
      <c r="E3676" s="33"/>
      <c r="F3676" s="54" t="s">
        <v>560</v>
      </c>
      <c r="G3676" s="54" t="str">
        <f t="shared" si="62"/>
        <v/>
      </c>
      <c r="H3676" s="73"/>
      <c r="I3676" s="74"/>
      <c r="J3676" s="155">
        <v>0</v>
      </c>
    </row>
    <row r="3677" spans="1:10" ht="15" hidden="1" thickBot="1" x14ac:dyDescent="0.35">
      <c r="A3677" s="227"/>
      <c r="B3677" s="224"/>
      <c r="C3677" s="36" t="s">
        <v>1157</v>
      </c>
      <c r="D3677" s="50" t="s">
        <v>103</v>
      </c>
      <c r="E3677" s="37">
        <f>ROUND(1/12,4)</f>
        <v>8.3299999999999999E-2</v>
      </c>
      <c r="F3677" s="54" t="s">
        <v>560</v>
      </c>
      <c r="G3677" s="54" t="str">
        <f t="shared" si="62"/>
        <v/>
      </c>
      <c r="H3677" s="39">
        <f>SUM(G3677:G3679)</f>
        <v>16.679549999999999</v>
      </c>
      <c r="I3677" s="40"/>
      <c r="J3677" s="155">
        <v>0</v>
      </c>
    </row>
    <row r="3678" spans="1:10" ht="15" hidden="1" thickBot="1" x14ac:dyDescent="0.35">
      <c r="A3678" s="227"/>
      <c r="B3678" s="224"/>
      <c r="C3678" s="36" t="s">
        <v>1057</v>
      </c>
      <c r="D3678" s="36" t="s">
        <v>744</v>
      </c>
      <c r="E3678" s="37">
        <f>1.2/2</f>
        <v>0.6</v>
      </c>
      <c r="F3678" s="54">
        <v>20.314999999999998</v>
      </c>
      <c r="G3678" s="54">
        <f t="shared" si="62"/>
        <v>12.188999999999998</v>
      </c>
      <c r="H3678" s="73"/>
      <c r="I3678" s="74"/>
      <c r="J3678" s="155">
        <v>0</v>
      </c>
    </row>
    <row r="3679" spans="1:10" ht="15" hidden="1" thickBot="1" x14ac:dyDescent="0.35">
      <c r="A3679" s="227"/>
      <c r="B3679" s="224"/>
      <c r="C3679" s="36" t="s">
        <v>23</v>
      </c>
      <c r="D3679" s="36" t="s">
        <v>744</v>
      </c>
      <c r="E3679" s="37">
        <f>0.6/2</f>
        <v>0.3</v>
      </c>
      <c r="F3679" s="54">
        <v>14.968499999999999</v>
      </c>
      <c r="G3679" s="54">
        <f t="shared" si="62"/>
        <v>4.4905499999999998</v>
      </c>
      <c r="H3679" s="73"/>
      <c r="I3679" s="74"/>
      <c r="J3679" s="155">
        <v>0</v>
      </c>
    </row>
    <row r="3680" spans="1:10" ht="15" hidden="1" thickBot="1" x14ac:dyDescent="0.35">
      <c r="A3680" s="227"/>
      <c r="B3680" s="224"/>
      <c r="C3680" s="36"/>
      <c r="D3680" s="36"/>
      <c r="E3680" s="37"/>
      <c r="F3680" s="54" t="s">
        <v>560</v>
      </c>
      <c r="G3680" s="54" t="str">
        <f t="shared" si="62"/>
        <v/>
      </c>
      <c r="H3680" s="73"/>
      <c r="I3680" s="74"/>
      <c r="J3680" s="155">
        <v>0</v>
      </c>
    </row>
    <row r="3681" spans="1:10" ht="27" hidden="1" thickBot="1" x14ac:dyDescent="0.35">
      <c r="A3681" s="227"/>
      <c r="B3681" s="224"/>
      <c r="C3681" s="48" t="s">
        <v>1158</v>
      </c>
      <c r="D3681" s="36"/>
      <c r="E3681" s="37"/>
      <c r="F3681" s="54" t="s">
        <v>560</v>
      </c>
      <c r="G3681" s="54" t="str">
        <f t="shared" si="62"/>
        <v/>
      </c>
      <c r="H3681" s="73"/>
      <c r="I3681" s="74"/>
      <c r="J3681" s="155">
        <v>0</v>
      </c>
    </row>
    <row r="3682" spans="1:10" ht="15" hidden="1" thickBot="1" x14ac:dyDescent="0.35">
      <c r="A3682" s="227"/>
      <c r="B3682" s="224"/>
      <c r="C3682" s="48" t="s">
        <v>1159</v>
      </c>
      <c r="D3682" s="36"/>
      <c r="E3682" s="37"/>
      <c r="F3682" s="54" t="s">
        <v>560</v>
      </c>
      <c r="G3682" s="54" t="str">
        <f t="shared" si="62"/>
        <v/>
      </c>
      <c r="H3682" s="73"/>
      <c r="I3682" s="74"/>
      <c r="J3682" s="155">
        <v>0</v>
      </c>
    </row>
    <row r="3683" spans="1:10" ht="15" hidden="1" thickBot="1" x14ac:dyDescent="0.35">
      <c r="A3683" s="228"/>
      <c r="B3683" s="225"/>
      <c r="C3683" s="36"/>
      <c r="D3683" s="36"/>
      <c r="E3683" s="37"/>
      <c r="F3683" s="54" t="s">
        <v>560</v>
      </c>
      <c r="G3683" s="54" t="str">
        <f t="shared" si="62"/>
        <v/>
      </c>
      <c r="H3683" s="73"/>
      <c r="I3683" s="74"/>
      <c r="J3683" s="155">
        <v>0</v>
      </c>
    </row>
    <row r="3684" spans="1:10" ht="15" hidden="1" thickBot="1" x14ac:dyDescent="0.35">
      <c r="A3684" s="226" t="s">
        <v>1160</v>
      </c>
      <c r="B3684" s="223" t="e">
        <f>INDEX(#REF!,MATCH(Composições!A3684,#REF!,0),2)</f>
        <v>#REF!</v>
      </c>
      <c r="C3684" s="41"/>
      <c r="D3684" s="26" t="e">
        <f>TRIM(INDEX(#REF!,MATCH(Composições!A3684,#REF!,0),1))</f>
        <v>#REF!</v>
      </c>
      <c r="E3684" s="27"/>
      <c r="F3684" s="49" t="s">
        <v>560</v>
      </c>
      <c r="G3684" s="28" t="str">
        <f t="shared" si="62"/>
        <v/>
      </c>
      <c r="H3684" s="29"/>
      <c r="I3684" s="30"/>
      <c r="J3684" s="155">
        <v>0</v>
      </c>
    </row>
    <row r="3685" spans="1:10" ht="15" hidden="1" thickBot="1" x14ac:dyDescent="0.35">
      <c r="A3685" s="229"/>
      <c r="B3685" s="224"/>
      <c r="C3685" s="32"/>
      <c r="D3685" s="32"/>
      <c r="E3685" s="33"/>
      <c r="F3685" s="54" t="s">
        <v>560</v>
      </c>
      <c r="G3685" s="54" t="str">
        <f t="shared" si="62"/>
        <v/>
      </c>
      <c r="H3685" s="73"/>
      <c r="I3685" s="74"/>
      <c r="J3685" s="155">
        <v>0</v>
      </c>
    </row>
    <row r="3686" spans="1:10" ht="15" hidden="1" thickBot="1" x14ac:dyDescent="0.35">
      <c r="A3686" s="229"/>
      <c r="B3686" s="224"/>
      <c r="C3686" s="36" t="s">
        <v>298</v>
      </c>
      <c r="D3686" s="36" t="s">
        <v>939</v>
      </c>
      <c r="E3686" s="37">
        <v>9.5000000000000001E-2</v>
      </c>
      <c r="F3686" s="54">
        <v>22.797000000000001</v>
      </c>
      <c r="G3686" s="54">
        <f t="shared" si="62"/>
        <v>2.1657150000000001</v>
      </c>
      <c r="H3686" s="39">
        <f>SUM(G3686:G3691)</f>
        <v>111.45565500000002</v>
      </c>
      <c r="I3686" s="40"/>
      <c r="J3686" s="155">
        <v>0</v>
      </c>
    </row>
    <row r="3687" spans="1:10" ht="27" hidden="1" thickBot="1" x14ac:dyDescent="0.35">
      <c r="A3687" s="229"/>
      <c r="B3687" s="224"/>
      <c r="C3687" s="36" t="s">
        <v>1161</v>
      </c>
      <c r="D3687" s="36" t="s">
        <v>1035</v>
      </c>
      <c r="E3687" s="37">
        <v>1.1100000000000001</v>
      </c>
      <c r="F3687" s="54">
        <v>91.8</v>
      </c>
      <c r="G3687" s="54">
        <f t="shared" si="62"/>
        <v>101.89800000000001</v>
      </c>
      <c r="H3687" s="73"/>
      <c r="I3687" s="74"/>
      <c r="J3687" s="155">
        <v>0</v>
      </c>
    </row>
    <row r="3688" spans="1:10" ht="15" hidden="1" thickBot="1" x14ac:dyDescent="0.35">
      <c r="A3688" s="229"/>
      <c r="B3688" s="224"/>
      <c r="C3688" s="36" t="s">
        <v>752</v>
      </c>
      <c r="D3688" s="36" t="s">
        <v>744</v>
      </c>
      <c r="E3688" s="37">
        <v>0.26100000000000001</v>
      </c>
      <c r="F3688" s="54">
        <v>20.314999999999998</v>
      </c>
      <c r="G3688" s="54">
        <f t="shared" si="62"/>
        <v>5.3022149999999995</v>
      </c>
      <c r="H3688" s="73"/>
      <c r="I3688" s="74"/>
      <c r="J3688" s="155">
        <v>0</v>
      </c>
    </row>
    <row r="3689" spans="1:10" ht="15" hidden="1" thickBot="1" x14ac:dyDescent="0.35">
      <c r="A3689" s="229"/>
      <c r="B3689" s="224"/>
      <c r="C3689" s="36" t="s">
        <v>745</v>
      </c>
      <c r="D3689" s="36" t="s">
        <v>744</v>
      </c>
      <c r="E3689" s="37">
        <v>0.13</v>
      </c>
      <c r="F3689" s="54">
        <v>14.968499999999999</v>
      </c>
      <c r="G3689" s="54">
        <f t="shared" si="62"/>
        <v>1.945905</v>
      </c>
      <c r="H3689" s="73"/>
      <c r="I3689" s="74"/>
      <c r="J3689" s="155">
        <v>0</v>
      </c>
    </row>
    <row r="3690" spans="1:10" ht="27" hidden="1" thickBot="1" x14ac:dyDescent="0.35">
      <c r="A3690" s="229"/>
      <c r="B3690" s="224"/>
      <c r="C3690" s="36" t="s">
        <v>1162</v>
      </c>
      <c r="D3690" s="36" t="s">
        <v>983</v>
      </c>
      <c r="E3690" s="37">
        <v>2.5000000000000001E-2</v>
      </c>
      <c r="F3690" s="54">
        <v>2.1419999999999999</v>
      </c>
      <c r="G3690" s="54">
        <f t="shared" si="62"/>
        <v>5.355E-2</v>
      </c>
      <c r="H3690" s="73"/>
      <c r="I3690" s="74"/>
      <c r="J3690" s="155">
        <v>0</v>
      </c>
    </row>
    <row r="3691" spans="1:10" ht="27" hidden="1" thickBot="1" x14ac:dyDescent="0.35">
      <c r="A3691" s="229"/>
      <c r="B3691" s="224"/>
      <c r="C3691" s="36" t="s">
        <v>1163</v>
      </c>
      <c r="D3691" s="36" t="s">
        <v>985</v>
      </c>
      <c r="E3691" s="37">
        <v>0.23599999999999999</v>
      </c>
      <c r="F3691" s="54">
        <v>0.38250000000000001</v>
      </c>
      <c r="G3691" s="54">
        <f t="shared" si="62"/>
        <v>9.0270000000000003E-2</v>
      </c>
      <c r="H3691" s="73"/>
      <c r="I3691" s="74"/>
      <c r="J3691" s="155">
        <v>0</v>
      </c>
    </row>
    <row r="3692" spans="1:10" ht="15" hidden="1" thickBot="1" x14ac:dyDescent="0.35">
      <c r="A3692" s="229"/>
      <c r="B3692" s="224"/>
      <c r="C3692" s="36"/>
      <c r="D3692" s="36"/>
      <c r="E3692" s="37"/>
      <c r="F3692" s="54" t="s">
        <v>560</v>
      </c>
      <c r="G3692" s="54" t="str">
        <f t="shared" si="62"/>
        <v/>
      </c>
      <c r="H3692" s="73"/>
      <c r="I3692" s="74"/>
      <c r="J3692" s="155">
        <v>0</v>
      </c>
    </row>
    <row r="3693" spans="1:10" ht="15" thickBot="1" x14ac:dyDescent="0.35">
      <c r="A3693" s="226" t="s">
        <v>1164</v>
      </c>
      <c r="B3693" s="223" t="str">
        <f>INDEX(Orçamentária!A:B,MATCH(Composições!A3693,Orçamentária!A:A,0),2)</f>
        <v>Locação de Container - Sanitário</v>
      </c>
      <c r="C3693" s="41"/>
      <c r="D3693" s="26" t="str">
        <f>TRIM(INDEX(Orçamentária!C:C,MATCH(Composições!A3693,Orçamentária!A:A,0),1))</f>
        <v>mês</v>
      </c>
      <c r="E3693" s="27"/>
      <c r="F3693" s="49" t="s">
        <v>560</v>
      </c>
      <c r="G3693" s="28" t="str">
        <f t="shared" si="62"/>
        <v/>
      </c>
      <c r="H3693" s="29"/>
      <c r="I3693" s="30"/>
      <c r="J3693" s="155">
        <v>12</v>
      </c>
    </row>
    <row r="3694" spans="1:10" x14ac:dyDescent="0.3">
      <c r="A3694" s="227"/>
      <c r="B3694" s="224"/>
      <c r="C3694" s="32"/>
      <c r="D3694" s="32"/>
      <c r="E3694" s="33"/>
      <c r="F3694" s="54" t="s">
        <v>560</v>
      </c>
      <c r="G3694" s="54" t="str">
        <f t="shared" si="62"/>
        <v/>
      </c>
      <c r="H3694" s="73"/>
      <c r="I3694" s="74"/>
      <c r="J3694" s="155">
        <v>12</v>
      </c>
    </row>
    <row r="3695" spans="1:10" ht="26.4" x14ac:dyDescent="0.3">
      <c r="A3695" s="227"/>
      <c r="B3695" s="224"/>
      <c r="C3695" s="36" t="s">
        <v>1165</v>
      </c>
      <c r="D3695" s="50" t="s">
        <v>129</v>
      </c>
      <c r="E3695" s="37">
        <v>1</v>
      </c>
      <c r="F3695" s="54">
        <v>621.5625</v>
      </c>
      <c r="G3695" s="54">
        <f t="shared" si="62"/>
        <v>621.5625</v>
      </c>
      <c r="H3695" s="39">
        <f>SUM(G3695:G3695)</f>
        <v>621.5625</v>
      </c>
      <c r="I3695" s="40"/>
      <c r="J3695" s="155">
        <v>12</v>
      </c>
    </row>
    <row r="3696" spans="1:10" ht="15" thickBot="1" x14ac:dyDescent="0.35">
      <c r="A3696" s="228"/>
      <c r="B3696" s="225"/>
      <c r="C3696" s="36"/>
      <c r="D3696" s="36"/>
      <c r="E3696" s="37"/>
      <c r="F3696" s="54" t="s">
        <v>560</v>
      </c>
      <c r="G3696" s="54" t="str">
        <f t="shared" si="62"/>
        <v/>
      </c>
      <c r="H3696" s="73"/>
      <c r="I3696" s="74"/>
      <c r="J3696" s="155">
        <v>12</v>
      </c>
    </row>
    <row r="3697" spans="1:10" ht="15" thickBot="1" x14ac:dyDescent="0.35">
      <c r="A3697" s="226" t="s">
        <v>1166</v>
      </c>
      <c r="B3697" s="223" t="str">
        <f>INDEX(Orçamentária!A:B,MATCH(Composições!A3697,Orçamentária!A:A,0),2)</f>
        <v>Locação de Container - Almoxarifado</v>
      </c>
      <c r="C3697" s="41"/>
      <c r="D3697" s="26" t="str">
        <f>TRIM(INDEX(Orçamentária!C:C,MATCH(Composições!A3697,Orçamentária!A:A,0),1))</f>
        <v>mês</v>
      </c>
      <c r="E3697" s="27"/>
      <c r="F3697" s="49" t="s">
        <v>560</v>
      </c>
      <c r="G3697" s="28" t="str">
        <f t="shared" si="62"/>
        <v/>
      </c>
      <c r="H3697" s="29"/>
      <c r="I3697" s="30"/>
      <c r="J3697" s="155">
        <v>12</v>
      </c>
    </row>
    <row r="3698" spans="1:10" x14ac:dyDescent="0.3">
      <c r="A3698" s="227"/>
      <c r="B3698" s="224"/>
      <c r="C3698" s="32"/>
      <c r="D3698" s="32"/>
      <c r="E3698" s="33"/>
      <c r="F3698" s="54" t="s">
        <v>560</v>
      </c>
      <c r="G3698" s="54" t="str">
        <f t="shared" si="62"/>
        <v/>
      </c>
      <c r="H3698" s="73"/>
      <c r="I3698" s="74"/>
      <c r="J3698" s="155">
        <v>12</v>
      </c>
    </row>
    <row r="3699" spans="1:10" ht="26.4" x14ac:dyDescent="0.3">
      <c r="A3699" s="227"/>
      <c r="B3699" s="224"/>
      <c r="C3699" s="36" t="s">
        <v>1167</v>
      </c>
      <c r="D3699" s="50" t="s">
        <v>129</v>
      </c>
      <c r="E3699" s="37">
        <v>1</v>
      </c>
      <c r="F3699" s="54">
        <v>388.47549999999995</v>
      </c>
      <c r="G3699" s="54">
        <f t="shared" si="62"/>
        <v>388.47549999999995</v>
      </c>
      <c r="H3699" s="39">
        <f>SUM(G3699:G3699)</f>
        <v>388.47549999999995</v>
      </c>
      <c r="I3699" s="40"/>
      <c r="J3699" s="155">
        <v>12</v>
      </c>
    </row>
    <row r="3700" spans="1:10" ht="15" thickBot="1" x14ac:dyDescent="0.35">
      <c r="A3700" s="228"/>
      <c r="B3700" s="225"/>
      <c r="C3700" s="36"/>
      <c r="D3700" s="36"/>
      <c r="E3700" s="37"/>
      <c r="F3700" s="54" t="s">
        <v>560</v>
      </c>
      <c r="G3700" s="54" t="str">
        <f t="shared" si="62"/>
        <v/>
      </c>
      <c r="H3700" s="73"/>
      <c r="I3700" s="74"/>
      <c r="J3700" s="155">
        <v>12</v>
      </c>
    </row>
    <row r="3701" spans="1:10" ht="15" thickBot="1" x14ac:dyDescent="0.35">
      <c r="A3701" s="226" t="s">
        <v>1168</v>
      </c>
      <c r="B3701" s="223" t="str">
        <f>INDEX(Orçamentária!A:B,MATCH(Composições!A3701,Orçamentária!A:A,0),2)</f>
        <v>Placa de Obra</v>
      </c>
      <c r="C3701" s="41"/>
      <c r="D3701" s="26" t="str">
        <f>TRIM(INDEX(Orçamentária!C:C,MATCH(Composições!A3701,Orçamentária!A:A,0),1))</f>
        <v>m2</v>
      </c>
      <c r="E3701" s="27"/>
      <c r="F3701" s="49" t="s">
        <v>560</v>
      </c>
      <c r="G3701" s="28" t="str">
        <f t="shared" si="62"/>
        <v/>
      </c>
      <c r="H3701" s="29"/>
      <c r="I3701" s="30"/>
      <c r="J3701" s="155">
        <v>2</v>
      </c>
    </row>
    <row r="3702" spans="1:10" x14ac:dyDescent="0.3">
      <c r="A3702" s="229"/>
      <c r="B3702" s="224"/>
      <c r="C3702" s="32"/>
      <c r="D3702" s="32"/>
      <c r="E3702" s="33"/>
      <c r="F3702" s="54" t="s">
        <v>560</v>
      </c>
      <c r="G3702" s="54" t="str">
        <f t="shared" si="62"/>
        <v/>
      </c>
      <c r="H3702" s="73"/>
      <c r="I3702" s="74"/>
      <c r="J3702" s="155">
        <v>2</v>
      </c>
    </row>
    <row r="3703" spans="1:10" ht="26.4" x14ac:dyDescent="0.3">
      <c r="A3703" s="229"/>
      <c r="B3703" s="224"/>
      <c r="C3703" s="36" t="s">
        <v>1169</v>
      </c>
      <c r="D3703" s="36" t="s">
        <v>1035</v>
      </c>
      <c r="E3703" s="37">
        <v>1</v>
      </c>
      <c r="F3703" s="54">
        <v>191.25</v>
      </c>
      <c r="G3703" s="54">
        <f t="shared" si="62"/>
        <v>191.25</v>
      </c>
      <c r="H3703" s="39">
        <f>SUM(G3703:G3704)</f>
        <v>191.25</v>
      </c>
      <c r="I3703" s="40"/>
      <c r="J3703" s="155">
        <v>2</v>
      </c>
    </row>
    <row r="3704" spans="1:10" ht="15" thickBot="1" x14ac:dyDescent="0.35">
      <c r="A3704" s="230"/>
      <c r="B3704" s="225"/>
      <c r="C3704" s="55"/>
      <c r="D3704" s="55"/>
      <c r="E3704" s="66"/>
      <c r="F3704" s="76" t="s">
        <v>560</v>
      </c>
      <c r="G3704" s="76" t="str">
        <f t="shared" si="62"/>
        <v/>
      </c>
      <c r="H3704" s="77"/>
      <c r="I3704" s="74"/>
      <c r="J3704" s="155">
        <v>2</v>
      </c>
    </row>
    <row r="3705" spans="1:10" ht="15" hidden="1" thickBot="1" x14ac:dyDescent="0.35">
      <c r="A3705" s="226" t="s">
        <v>1170</v>
      </c>
      <c r="B3705" s="223" t="e">
        <f>INDEX(#REF!,MATCH(Composições!A3705,#REF!,0),2)</f>
        <v>#REF!</v>
      </c>
      <c r="C3705" s="41"/>
      <c r="D3705" s="26" t="e">
        <f>TRIM(INDEX(#REF!,MATCH(Composições!A3705,#REF!,0),1))</f>
        <v>#REF!</v>
      </c>
      <c r="E3705" s="27"/>
      <c r="F3705" s="49" t="s">
        <v>560</v>
      </c>
      <c r="G3705" s="28" t="str">
        <f t="shared" si="62"/>
        <v/>
      </c>
      <c r="H3705" s="29"/>
      <c r="I3705" s="30"/>
      <c r="J3705" s="155">
        <v>0</v>
      </c>
    </row>
    <row r="3706" spans="1:10" ht="15" hidden="1" thickBot="1" x14ac:dyDescent="0.35">
      <c r="A3706" s="229"/>
      <c r="B3706" s="224"/>
      <c r="C3706" s="32"/>
      <c r="D3706" s="32"/>
      <c r="E3706" s="33"/>
      <c r="F3706" s="54" t="s">
        <v>560</v>
      </c>
      <c r="G3706" s="54" t="str">
        <f t="shared" si="62"/>
        <v/>
      </c>
      <c r="H3706" s="73"/>
      <c r="I3706" s="74"/>
      <c r="J3706" s="155">
        <v>0</v>
      </c>
    </row>
    <row r="3707" spans="1:10" ht="27" hidden="1" thickBot="1" x14ac:dyDescent="0.35">
      <c r="A3707" s="229"/>
      <c r="B3707" s="224"/>
      <c r="C3707" s="36" t="s">
        <v>1171</v>
      </c>
      <c r="D3707" s="36" t="s">
        <v>129</v>
      </c>
      <c r="E3707" s="37">
        <f>ROUND(1/(1+72.54%),4)</f>
        <v>0.5796</v>
      </c>
      <c r="F3707" s="54">
        <v>6022.0204999999996</v>
      </c>
      <c r="G3707" s="54">
        <f t="shared" si="62"/>
        <v>3490.3630817999997</v>
      </c>
      <c r="H3707" s="39">
        <f>SUM(G3707:G3710)</f>
        <v>3490.3630817999997</v>
      </c>
      <c r="I3707" s="40"/>
      <c r="J3707" s="155">
        <v>0</v>
      </c>
    </row>
    <row r="3708" spans="1:10" ht="15" hidden="1" thickBot="1" x14ac:dyDescent="0.35">
      <c r="A3708" s="229"/>
      <c r="B3708" s="224"/>
      <c r="C3708" s="36"/>
      <c r="D3708" s="36"/>
      <c r="E3708" s="37"/>
      <c r="F3708" s="54" t="s">
        <v>560</v>
      </c>
      <c r="G3708" s="54" t="str">
        <f t="shared" si="62"/>
        <v/>
      </c>
      <c r="H3708" s="73"/>
      <c r="I3708" s="74"/>
      <c r="J3708" s="155">
        <v>0</v>
      </c>
    </row>
    <row r="3709" spans="1:10" ht="27" hidden="1" thickBot="1" x14ac:dyDescent="0.35">
      <c r="A3709" s="229"/>
      <c r="B3709" s="224"/>
      <c r="C3709" s="48" t="s">
        <v>822</v>
      </c>
      <c r="D3709" s="36"/>
      <c r="E3709" s="37"/>
      <c r="F3709" s="54" t="s">
        <v>560</v>
      </c>
      <c r="G3709" s="54" t="str">
        <f t="shared" si="62"/>
        <v/>
      </c>
      <c r="H3709" s="73"/>
      <c r="I3709" s="74"/>
      <c r="J3709" s="155">
        <v>0</v>
      </c>
    </row>
    <row r="3710" spans="1:10" ht="15" hidden="1" thickBot="1" x14ac:dyDescent="0.35">
      <c r="A3710" s="230"/>
      <c r="B3710" s="225"/>
      <c r="C3710" s="55"/>
      <c r="D3710" s="55"/>
      <c r="E3710" s="66"/>
      <c r="F3710" s="76" t="s">
        <v>560</v>
      </c>
      <c r="G3710" s="76" t="str">
        <f t="shared" si="62"/>
        <v/>
      </c>
      <c r="H3710" s="77"/>
      <c r="I3710" s="74"/>
      <c r="J3710" s="155">
        <v>0</v>
      </c>
    </row>
    <row r="3711" spans="1:10" ht="15" hidden="1" thickBot="1" x14ac:dyDescent="0.35">
      <c r="A3711" s="226" t="s">
        <v>1172</v>
      </c>
      <c r="B3711" s="223" t="e">
        <f>INDEX(#REF!,MATCH(Composições!A3711,#REF!,0),2)</f>
        <v>#REF!</v>
      </c>
      <c r="C3711" s="41"/>
      <c r="D3711" s="26" t="e">
        <f>TRIM(INDEX(#REF!,MATCH(Composições!A3711,#REF!,0),1))</f>
        <v>#REF!</v>
      </c>
      <c r="E3711" s="27"/>
      <c r="F3711" s="49" t="s">
        <v>560</v>
      </c>
      <c r="G3711" s="28" t="str">
        <f t="shared" si="62"/>
        <v/>
      </c>
      <c r="H3711" s="29"/>
      <c r="I3711" s="30"/>
      <c r="J3711" s="155">
        <v>0</v>
      </c>
    </row>
    <row r="3712" spans="1:10" ht="15" hidden="1" thickBot="1" x14ac:dyDescent="0.35">
      <c r="A3712" s="227"/>
      <c r="B3712" s="224"/>
      <c r="C3712" s="32"/>
      <c r="D3712" s="32"/>
      <c r="E3712" s="33"/>
      <c r="F3712" s="54" t="s">
        <v>560</v>
      </c>
      <c r="G3712" s="54" t="str">
        <f t="shared" si="62"/>
        <v/>
      </c>
      <c r="H3712" s="73"/>
      <c r="I3712" s="74"/>
      <c r="J3712" s="155">
        <v>0</v>
      </c>
    </row>
    <row r="3713" spans="1:10" ht="15" hidden="1" thickBot="1" x14ac:dyDescent="0.35">
      <c r="A3713" s="227"/>
      <c r="B3713" s="224"/>
      <c r="C3713" s="36" t="s">
        <v>54</v>
      </c>
      <c r="D3713" s="36" t="s">
        <v>12</v>
      </c>
      <c r="E3713" s="37">
        <f>0.5/50</f>
        <v>0.01</v>
      </c>
      <c r="F3713" s="54">
        <v>16.923500000000001</v>
      </c>
      <c r="G3713" s="54">
        <f t="shared" ref="G3713:G3776" si="63">IF(ISNUMBER(F3713),E3713*F3713,"")</f>
        <v>0.169235</v>
      </c>
      <c r="H3713" s="39">
        <f>SUM(G3713:G3714)</f>
        <v>0.169235</v>
      </c>
      <c r="I3713" s="40"/>
      <c r="J3713" s="155">
        <v>0</v>
      </c>
    </row>
    <row r="3714" spans="1:10" ht="15" hidden="1" thickBot="1" x14ac:dyDescent="0.35">
      <c r="A3714" s="227"/>
      <c r="B3714" s="224"/>
      <c r="C3714" s="36" t="s">
        <v>1173</v>
      </c>
      <c r="D3714" s="36" t="s">
        <v>147</v>
      </c>
      <c r="E3714" s="37">
        <f>1/50</f>
        <v>0.02</v>
      </c>
      <c r="F3714" s="54" t="s">
        <v>560</v>
      </c>
      <c r="G3714" s="54" t="str">
        <f t="shared" si="63"/>
        <v/>
      </c>
      <c r="H3714" s="73"/>
      <c r="I3714" s="74"/>
      <c r="J3714" s="155">
        <v>0</v>
      </c>
    </row>
    <row r="3715" spans="1:10" ht="15" hidden="1" thickBot="1" x14ac:dyDescent="0.35">
      <c r="A3715" s="228"/>
      <c r="B3715" s="225"/>
      <c r="C3715" s="36"/>
      <c r="D3715" s="36"/>
      <c r="E3715" s="37"/>
      <c r="F3715" s="54" t="s">
        <v>560</v>
      </c>
      <c r="G3715" s="54" t="str">
        <f t="shared" si="63"/>
        <v/>
      </c>
      <c r="H3715" s="73"/>
      <c r="I3715" s="74"/>
      <c r="J3715" s="155">
        <v>0</v>
      </c>
    </row>
    <row r="3716" spans="1:10" ht="15" hidden="1" thickBot="1" x14ac:dyDescent="0.35">
      <c r="A3716" s="226" t="s">
        <v>1174</v>
      </c>
      <c r="B3716" s="223" t="e">
        <f>INDEX(#REF!,MATCH(Composições!A3716,#REF!,0),2)</f>
        <v>#REF!</v>
      </c>
      <c r="C3716" s="41"/>
      <c r="D3716" s="26" t="e">
        <f>TRIM(INDEX(#REF!,MATCH(Composições!A3716,#REF!,0),1))</f>
        <v>#REF!</v>
      </c>
      <c r="E3716" s="27"/>
      <c r="F3716" s="49" t="s">
        <v>560</v>
      </c>
      <c r="G3716" s="28" t="str">
        <f t="shared" si="63"/>
        <v/>
      </c>
      <c r="H3716" s="29"/>
      <c r="I3716" s="30"/>
      <c r="J3716" s="155">
        <v>0</v>
      </c>
    </row>
    <row r="3717" spans="1:10" ht="15" hidden="1" thickBot="1" x14ac:dyDescent="0.35">
      <c r="A3717" s="227"/>
      <c r="B3717" s="224"/>
      <c r="C3717" s="32"/>
      <c r="D3717" s="32"/>
      <c r="E3717" s="33"/>
      <c r="F3717" s="54" t="s">
        <v>560</v>
      </c>
      <c r="G3717" s="54" t="str">
        <f t="shared" si="63"/>
        <v/>
      </c>
      <c r="H3717" s="73"/>
      <c r="I3717" s="74"/>
      <c r="J3717" s="155">
        <v>0</v>
      </c>
    </row>
    <row r="3718" spans="1:10" ht="15" hidden="1" thickBot="1" x14ac:dyDescent="0.35">
      <c r="A3718" s="227"/>
      <c r="B3718" s="224"/>
      <c r="C3718" s="36" t="s">
        <v>22</v>
      </c>
      <c r="D3718" s="36" t="s">
        <v>12</v>
      </c>
      <c r="E3718" s="37">
        <v>0.5</v>
      </c>
      <c r="F3718" s="54">
        <v>20.314999999999998</v>
      </c>
      <c r="G3718" s="54">
        <f t="shared" si="63"/>
        <v>10.157499999999999</v>
      </c>
      <c r="H3718" s="39">
        <f>SUM(G3718:G3723)</f>
        <v>28.0816388285931</v>
      </c>
      <c r="I3718" s="40"/>
      <c r="J3718" s="155">
        <v>0</v>
      </c>
    </row>
    <row r="3719" spans="1:10" ht="15" hidden="1" thickBot="1" x14ac:dyDescent="0.35">
      <c r="A3719" s="227"/>
      <c r="B3719" s="224"/>
      <c r="C3719" s="36" t="s">
        <v>23</v>
      </c>
      <c r="D3719" s="36" t="s">
        <v>12</v>
      </c>
      <c r="E3719" s="37">
        <v>0.51</v>
      </c>
      <c r="F3719" s="54">
        <v>14.968499999999999</v>
      </c>
      <c r="G3719" s="54">
        <f t="shared" si="63"/>
        <v>7.6339349999999992</v>
      </c>
      <c r="H3719" s="73"/>
      <c r="I3719" s="74"/>
      <c r="J3719" s="155">
        <v>0</v>
      </c>
    </row>
    <row r="3720" spans="1:10" ht="40.200000000000003" hidden="1" thickBot="1" x14ac:dyDescent="0.35">
      <c r="A3720" s="227"/>
      <c r="B3720" s="224"/>
      <c r="C3720" s="36" t="s">
        <v>182</v>
      </c>
      <c r="D3720" s="47" t="s">
        <v>110</v>
      </c>
      <c r="E3720" s="37">
        <v>3.0999999999999999E-3</v>
      </c>
      <c r="F3720" s="54">
        <v>513.47571890100005</v>
      </c>
      <c r="G3720" s="54">
        <f t="shared" si="63"/>
        <v>1.5917747285931001</v>
      </c>
      <c r="H3720" s="73"/>
      <c r="I3720" s="74"/>
      <c r="J3720" s="155">
        <v>0</v>
      </c>
    </row>
    <row r="3721" spans="1:10" ht="15" hidden="1" thickBot="1" x14ac:dyDescent="0.35">
      <c r="A3721" s="227"/>
      <c r="B3721" s="224"/>
      <c r="C3721" s="36" t="s">
        <v>1175</v>
      </c>
      <c r="D3721" s="47" t="s">
        <v>93</v>
      </c>
      <c r="E3721" s="37">
        <v>1</v>
      </c>
      <c r="F3721" s="54" t="s">
        <v>560</v>
      </c>
      <c r="G3721" s="54" t="str">
        <f t="shared" si="63"/>
        <v/>
      </c>
      <c r="H3721" s="73"/>
      <c r="I3721" s="74"/>
      <c r="J3721" s="155">
        <v>0</v>
      </c>
    </row>
    <row r="3722" spans="1:10" ht="15" hidden="1" thickBot="1" x14ac:dyDescent="0.35">
      <c r="A3722" s="227"/>
      <c r="B3722" s="224"/>
      <c r="C3722" s="36" t="s">
        <v>23</v>
      </c>
      <c r="D3722" s="36" t="s">
        <v>12</v>
      </c>
      <c r="E3722" s="37">
        <v>0.15</v>
      </c>
      <c r="F3722" s="54">
        <v>14.968499999999999</v>
      </c>
      <c r="G3722" s="54">
        <f t="shared" si="63"/>
        <v>2.2452749999999999</v>
      </c>
      <c r="H3722" s="73"/>
      <c r="I3722" s="74"/>
      <c r="J3722" s="155">
        <v>0</v>
      </c>
    </row>
    <row r="3723" spans="1:10" ht="15" hidden="1" thickBot="1" x14ac:dyDescent="0.35">
      <c r="A3723" s="227"/>
      <c r="B3723" s="224"/>
      <c r="C3723" s="36" t="s">
        <v>1176</v>
      </c>
      <c r="D3723" s="36" t="s">
        <v>292</v>
      </c>
      <c r="E3723" s="37">
        <f>ROUND(0.1/0.28,4)</f>
        <v>0.35709999999999997</v>
      </c>
      <c r="F3723" s="54">
        <v>18.071000000000002</v>
      </c>
      <c r="G3723" s="54">
        <f t="shared" si="63"/>
        <v>6.4531540999999999</v>
      </c>
      <c r="H3723" s="73"/>
      <c r="I3723" s="74"/>
      <c r="J3723" s="155">
        <v>0</v>
      </c>
    </row>
    <row r="3724" spans="1:10" ht="15" hidden="1" thickBot="1" x14ac:dyDescent="0.35">
      <c r="A3724" s="227"/>
      <c r="B3724" s="224"/>
      <c r="C3724" s="36"/>
      <c r="D3724" s="47"/>
      <c r="E3724" s="37"/>
      <c r="F3724" s="54" t="s">
        <v>560</v>
      </c>
      <c r="G3724" s="54" t="str">
        <f t="shared" si="63"/>
        <v/>
      </c>
      <c r="H3724" s="73"/>
      <c r="I3724" s="74"/>
      <c r="J3724" s="155">
        <v>0</v>
      </c>
    </row>
    <row r="3725" spans="1:10" ht="15" hidden="1" thickBot="1" x14ac:dyDescent="0.35">
      <c r="A3725" s="227"/>
      <c r="B3725" s="224"/>
      <c r="C3725" s="152" t="s">
        <v>1177</v>
      </c>
      <c r="D3725" s="47"/>
      <c r="E3725" s="37"/>
      <c r="F3725" s="54" t="s">
        <v>560</v>
      </c>
      <c r="G3725" s="54" t="str">
        <f t="shared" si="63"/>
        <v/>
      </c>
      <c r="H3725" s="73"/>
      <c r="I3725" s="74"/>
      <c r="J3725" s="155">
        <v>0</v>
      </c>
    </row>
    <row r="3726" spans="1:10" ht="15" hidden="1" thickBot="1" x14ac:dyDescent="0.35">
      <c r="A3726" s="227"/>
      <c r="B3726" s="224"/>
      <c r="C3726" s="55"/>
      <c r="D3726" s="55"/>
      <c r="E3726" s="66"/>
      <c r="F3726" s="76" t="s">
        <v>560</v>
      </c>
      <c r="G3726" s="76" t="str">
        <f t="shared" si="63"/>
        <v/>
      </c>
      <c r="H3726" s="77"/>
      <c r="I3726" s="74"/>
      <c r="J3726" s="155">
        <v>0</v>
      </c>
    </row>
    <row r="3727" spans="1:10" ht="15" hidden="1" thickBot="1" x14ac:dyDescent="0.35">
      <c r="A3727" s="226" t="s">
        <v>1178</v>
      </c>
      <c r="B3727" s="223" t="e">
        <f>INDEX(#REF!,MATCH(Composições!A3727,#REF!,0),2)</f>
        <v>#REF!</v>
      </c>
      <c r="C3727" s="41"/>
      <c r="D3727" s="26" t="e">
        <f>TRIM(INDEX(#REF!,MATCH(Composições!A3727,#REF!,0),1))</f>
        <v>#REF!</v>
      </c>
      <c r="E3727" s="27"/>
      <c r="F3727" s="49" t="s">
        <v>560</v>
      </c>
      <c r="G3727" s="28" t="str">
        <f t="shared" si="63"/>
        <v/>
      </c>
      <c r="H3727" s="29"/>
      <c r="I3727" s="30"/>
      <c r="J3727" s="155">
        <v>0</v>
      </c>
    </row>
    <row r="3728" spans="1:10" ht="15" hidden="1" thickBot="1" x14ac:dyDescent="0.35">
      <c r="A3728" s="227"/>
      <c r="B3728" s="224"/>
      <c r="C3728" s="32"/>
      <c r="D3728" s="32"/>
      <c r="E3728" s="33"/>
      <c r="F3728" s="54" t="s">
        <v>560</v>
      </c>
      <c r="G3728" s="54" t="str">
        <f t="shared" si="63"/>
        <v/>
      </c>
      <c r="H3728" s="73"/>
      <c r="I3728" s="74"/>
      <c r="J3728" s="155">
        <v>0</v>
      </c>
    </row>
    <row r="3729" spans="1:10" ht="15" hidden="1" thickBot="1" x14ac:dyDescent="0.35">
      <c r="A3729" s="227"/>
      <c r="B3729" s="224"/>
      <c r="C3729" s="36" t="s">
        <v>1812</v>
      </c>
      <c r="D3729" s="36" t="s">
        <v>939</v>
      </c>
      <c r="E3729" s="37">
        <f>ROUND(0.5228/(1.5*0.6),4)</f>
        <v>0.58089999999999997</v>
      </c>
      <c r="F3729" s="54">
        <v>22.074499999999997</v>
      </c>
      <c r="G3729" s="54">
        <f t="shared" si="63"/>
        <v>12.823077049999998</v>
      </c>
      <c r="H3729" s="39">
        <f>SUM(G3729:G3735)</f>
        <v>109.80093959999999</v>
      </c>
      <c r="I3729" s="40"/>
      <c r="J3729" s="155">
        <v>0</v>
      </c>
    </row>
    <row r="3730" spans="1:10" ht="40.200000000000003" hidden="1" thickBot="1" x14ac:dyDescent="0.35">
      <c r="A3730" s="227"/>
      <c r="B3730" s="224"/>
      <c r="C3730" s="36" t="s">
        <v>1181</v>
      </c>
      <c r="D3730" s="36" t="s">
        <v>292</v>
      </c>
      <c r="E3730" s="37">
        <f>ROUND(6/(1.5*0.6),4)</f>
        <v>6.6666999999999996</v>
      </c>
      <c r="F3730" s="54">
        <v>0.83299999999999996</v>
      </c>
      <c r="G3730" s="54">
        <f t="shared" si="63"/>
        <v>5.5533610999999992</v>
      </c>
      <c r="H3730" s="73"/>
      <c r="I3730" s="74"/>
      <c r="J3730" s="155">
        <v>0</v>
      </c>
    </row>
    <row r="3731" spans="1:10" ht="27" hidden="1" thickBot="1" x14ac:dyDescent="0.35">
      <c r="A3731" s="227"/>
      <c r="B3731" s="224"/>
      <c r="C3731" s="36" t="s">
        <v>1179</v>
      </c>
      <c r="D3731" s="36" t="s">
        <v>1035</v>
      </c>
      <c r="E3731" s="37">
        <f>ROUND(1.005/(1.5*0.6),4)</f>
        <v>1.1167</v>
      </c>
      <c r="F3731" s="54" t="s">
        <v>560</v>
      </c>
      <c r="G3731" s="54" t="str">
        <f t="shared" si="63"/>
        <v/>
      </c>
      <c r="H3731" s="73"/>
      <c r="I3731" s="74"/>
      <c r="J3731" s="155">
        <v>0</v>
      </c>
    </row>
    <row r="3732" spans="1:10" ht="15" hidden="1" thickBot="1" x14ac:dyDescent="0.35">
      <c r="A3732" s="227"/>
      <c r="B3732" s="224"/>
      <c r="C3732" s="36" t="s">
        <v>1923</v>
      </c>
      <c r="D3732" s="36" t="s">
        <v>939</v>
      </c>
      <c r="E3732" s="37">
        <f>ROUND(0.0211/(1.5*0.6),4)</f>
        <v>2.3400000000000001E-2</v>
      </c>
      <c r="F3732" s="54">
        <v>47.302499999999995</v>
      </c>
      <c r="G3732" s="54">
        <f t="shared" si="63"/>
        <v>1.1068784999999999</v>
      </c>
      <c r="H3732" s="73"/>
      <c r="I3732" s="74"/>
      <c r="J3732" s="155">
        <v>0</v>
      </c>
    </row>
    <row r="3733" spans="1:10" ht="27" hidden="1" thickBot="1" x14ac:dyDescent="0.35">
      <c r="A3733" s="227"/>
      <c r="B3733" s="224"/>
      <c r="C3733" s="36" t="s">
        <v>1832</v>
      </c>
      <c r="D3733" s="36" t="s">
        <v>292</v>
      </c>
      <c r="E3733" s="37">
        <f>ROUND(2/(1.5*0.6),4)</f>
        <v>2.2222</v>
      </c>
      <c r="F3733" s="54">
        <v>20.638000000000002</v>
      </c>
      <c r="G3733" s="54">
        <f t="shared" si="63"/>
        <v>45.861763600000003</v>
      </c>
      <c r="H3733" s="73"/>
      <c r="I3733" s="74"/>
      <c r="J3733" s="155">
        <v>0</v>
      </c>
    </row>
    <row r="3734" spans="1:10" ht="15" hidden="1" thickBot="1" x14ac:dyDescent="0.35">
      <c r="A3734" s="227"/>
      <c r="B3734" s="224"/>
      <c r="C3734" s="36" t="s">
        <v>1696</v>
      </c>
      <c r="D3734" s="36" t="s">
        <v>744</v>
      </c>
      <c r="E3734" s="37">
        <f>ROUND(1.4944/(1.5*0.6),4)</f>
        <v>1.6604000000000001</v>
      </c>
      <c r="F3734" s="54">
        <v>16.923500000000001</v>
      </c>
      <c r="G3734" s="54">
        <f t="shared" si="63"/>
        <v>28.099779400000003</v>
      </c>
      <c r="H3734" s="73"/>
      <c r="I3734" s="74"/>
      <c r="J3734" s="155">
        <v>0</v>
      </c>
    </row>
    <row r="3735" spans="1:10" ht="15" hidden="1" thickBot="1" x14ac:dyDescent="0.35">
      <c r="A3735" s="227"/>
      <c r="B3735" s="224"/>
      <c r="C3735" s="36" t="s">
        <v>745</v>
      </c>
      <c r="D3735" s="36" t="s">
        <v>744</v>
      </c>
      <c r="E3735" s="37">
        <f>ROUND(0.9834/(1.5*0.6),4)</f>
        <v>1.0927</v>
      </c>
      <c r="F3735" s="54">
        <v>14.968499999999999</v>
      </c>
      <c r="G3735" s="54">
        <f t="shared" si="63"/>
        <v>16.356079949999998</v>
      </c>
      <c r="H3735" s="73"/>
      <c r="I3735" s="74"/>
      <c r="J3735" s="155">
        <v>0</v>
      </c>
    </row>
    <row r="3736" spans="1:10" ht="15" hidden="1" thickBot="1" x14ac:dyDescent="0.35">
      <c r="A3736" s="227"/>
      <c r="B3736" s="224"/>
      <c r="C3736" s="36"/>
      <c r="D3736" s="36"/>
      <c r="E3736" s="37"/>
      <c r="F3736" s="54" t="s">
        <v>560</v>
      </c>
      <c r="G3736" s="54" t="str">
        <f t="shared" si="63"/>
        <v/>
      </c>
      <c r="H3736" s="73"/>
      <c r="I3736" s="74"/>
      <c r="J3736" s="155">
        <v>0</v>
      </c>
    </row>
    <row r="3737" spans="1:10" ht="15" hidden="1" thickBot="1" x14ac:dyDescent="0.35">
      <c r="A3737" s="226" t="s">
        <v>1180</v>
      </c>
      <c r="B3737" s="223" t="e">
        <f>INDEX(#REF!,MATCH(Composições!A3737,#REF!,0),2)</f>
        <v>#REF!</v>
      </c>
      <c r="C3737" s="41"/>
      <c r="D3737" s="26" t="e">
        <f>TRIM(INDEX(#REF!,MATCH(Composições!A3737,#REF!,0),1))</f>
        <v>#REF!</v>
      </c>
      <c r="E3737" s="27"/>
      <c r="F3737" s="49" t="s">
        <v>560</v>
      </c>
      <c r="G3737" s="28" t="str">
        <f t="shared" si="63"/>
        <v/>
      </c>
      <c r="H3737" s="29"/>
      <c r="I3737" s="30"/>
      <c r="J3737" s="155">
        <v>0</v>
      </c>
    </row>
    <row r="3738" spans="1:10" ht="15" hidden="1" thickBot="1" x14ac:dyDescent="0.35">
      <c r="A3738" s="227"/>
      <c r="B3738" s="224"/>
      <c r="C3738" s="32"/>
      <c r="D3738" s="32"/>
      <c r="E3738" s="33"/>
      <c r="F3738" s="54" t="s">
        <v>560</v>
      </c>
      <c r="G3738" s="54" t="str">
        <f t="shared" si="63"/>
        <v/>
      </c>
      <c r="H3738" s="73"/>
      <c r="I3738" s="74"/>
      <c r="J3738" s="155">
        <v>0</v>
      </c>
    </row>
    <row r="3739" spans="1:10" ht="27" hidden="1" thickBot="1" x14ac:dyDescent="0.35">
      <c r="A3739" s="227"/>
      <c r="B3739" s="224"/>
      <c r="C3739" s="36" t="s">
        <v>1106</v>
      </c>
      <c r="D3739" s="47" t="s">
        <v>1117</v>
      </c>
      <c r="E3739" s="37">
        <v>0.88290000000000002</v>
      </c>
      <c r="F3739" s="54">
        <v>27.352999999999998</v>
      </c>
      <c r="G3739" s="54">
        <f t="shared" si="63"/>
        <v>24.149963699999997</v>
      </c>
      <c r="H3739" s="39">
        <f>SUM(G3739:G3744)</f>
        <v>414.12261969999997</v>
      </c>
      <c r="I3739" s="40"/>
      <c r="J3739" s="155">
        <v>0</v>
      </c>
    </row>
    <row r="3740" spans="1:10" ht="40.200000000000003" hidden="1" thickBot="1" x14ac:dyDescent="0.35">
      <c r="A3740" s="227"/>
      <c r="B3740" s="224"/>
      <c r="C3740" s="36" t="s">
        <v>1181</v>
      </c>
      <c r="D3740" s="47" t="s">
        <v>292</v>
      </c>
      <c r="E3740" s="37">
        <v>4.8166000000000002</v>
      </c>
      <c r="F3740" s="54">
        <v>0.83299999999999996</v>
      </c>
      <c r="G3740" s="54">
        <f t="shared" si="63"/>
        <v>4.0122277999999998</v>
      </c>
      <c r="H3740" s="73"/>
      <c r="I3740" s="74"/>
      <c r="J3740" s="155">
        <v>0</v>
      </c>
    </row>
    <row r="3741" spans="1:10" ht="27" hidden="1" thickBot="1" x14ac:dyDescent="0.35">
      <c r="A3741" s="227"/>
      <c r="B3741" s="224"/>
      <c r="C3741" s="36" t="s">
        <v>1182</v>
      </c>
      <c r="D3741" s="36" t="s">
        <v>515</v>
      </c>
      <c r="E3741" s="37">
        <v>6.8503999999999996</v>
      </c>
      <c r="F3741" s="54">
        <v>7.5394999999999994</v>
      </c>
      <c r="G3741" s="54">
        <f t="shared" si="63"/>
        <v>51.648590799999994</v>
      </c>
      <c r="H3741" s="73"/>
      <c r="I3741" s="74"/>
      <c r="J3741" s="155">
        <v>0</v>
      </c>
    </row>
    <row r="3742" spans="1:10" ht="27" hidden="1" thickBot="1" x14ac:dyDescent="0.35">
      <c r="A3742" s="227"/>
      <c r="B3742" s="224"/>
      <c r="C3742" s="36" t="s">
        <v>1183</v>
      </c>
      <c r="D3742" s="36" t="s">
        <v>292</v>
      </c>
      <c r="E3742" s="37">
        <v>0.54730000000000001</v>
      </c>
      <c r="F3742" s="54">
        <v>591.41300000000001</v>
      </c>
      <c r="G3742" s="54">
        <f t="shared" si="63"/>
        <v>323.68033489999999</v>
      </c>
      <c r="H3742" s="73"/>
      <c r="I3742" s="74"/>
      <c r="J3742" s="155">
        <v>0</v>
      </c>
    </row>
    <row r="3743" spans="1:10" ht="15" hidden="1" thickBot="1" x14ac:dyDescent="0.35">
      <c r="A3743" s="227"/>
      <c r="B3743" s="224"/>
      <c r="C3743" s="36" t="s">
        <v>1184</v>
      </c>
      <c r="D3743" s="47" t="s">
        <v>744</v>
      </c>
      <c r="E3743" s="37">
        <v>0.3826</v>
      </c>
      <c r="F3743" s="54">
        <v>20.314999999999998</v>
      </c>
      <c r="G3743" s="54">
        <f t="shared" si="63"/>
        <v>7.7725189999999991</v>
      </c>
      <c r="H3743" s="73"/>
      <c r="I3743" s="74"/>
      <c r="J3743" s="155">
        <v>0</v>
      </c>
    </row>
    <row r="3744" spans="1:10" ht="15" hidden="1" thickBot="1" x14ac:dyDescent="0.35">
      <c r="A3744" s="227"/>
      <c r="B3744" s="224"/>
      <c r="C3744" s="36" t="s">
        <v>23</v>
      </c>
      <c r="D3744" s="47" t="s">
        <v>744</v>
      </c>
      <c r="E3744" s="37">
        <v>0.191</v>
      </c>
      <c r="F3744" s="54">
        <v>14.968499999999999</v>
      </c>
      <c r="G3744" s="54">
        <f t="shared" si="63"/>
        <v>2.8589834999999999</v>
      </c>
      <c r="H3744" s="73"/>
      <c r="I3744" s="74"/>
      <c r="J3744" s="155">
        <v>0</v>
      </c>
    </row>
    <row r="3745" spans="1:10" ht="15" hidden="1" thickBot="1" x14ac:dyDescent="0.35">
      <c r="A3745" s="227"/>
      <c r="B3745" s="224"/>
      <c r="C3745" s="36"/>
      <c r="D3745" s="47"/>
      <c r="E3745" s="37"/>
      <c r="F3745" s="54" t="s">
        <v>560</v>
      </c>
      <c r="G3745" s="54" t="str">
        <f t="shared" si="63"/>
        <v/>
      </c>
      <c r="H3745" s="73"/>
      <c r="I3745" s="74"/>
      <c r="J3745" s="155">
        <v>0</v>
      </c>
    </row>
    <row r="3746" spans="1:10" ht="15" hidden="1" thickBot="1" x14ac:dyDescent="0.35">
      <c r="A3746" s="226" t="s">
        <v>1185</v>
      </c>
      <c r="B3746" s="223" t="e">
        <f>INDEX(#REF!,MATCH(Composições!A3746,#REF!,0),2)</f>
        <v>#REF!</v>
      </c>
      <c r="C3746" s="41"/>
      <c r="D3746" s="26" t="e">
        <f>TRIM(INDEX(#REF!,MATCH(Composições!A3746,#REF!,0),1))</f>
        <v>#REF!</v>
      </c>
      <c r="E3746" s="27"/>
      <c r="F3746" s="49" t="s">
        <v>560</v>
      </c>
      <c r="G3746" s="28" t="str">
        <f t="shared" si="63"/>
        <v/>
      </c>
      <c r="H3746" s="29"/>
      <c r="I3746" s="30"/>
      <c r="J3746" s="155">
        <v>0</v>
      </c>
    </row>
    <row r="3747" spans="1:10" ht="15" hidden="1" thickBot="1" x14ac:dyDescent="0.35">
      <c r="A3747" s="227"/>
      <c r="B3747" s="224"/>
      <c r="C3747" s="32"/>
      <c r="D3747" s="32"/>
      <c r="E3747" s="33"/>
      <c r="F3747" s="54" t="s">
        <v>560</v>
      </c>
      <c r="G3747" s="54" t="str">
        <f t="shared" si="63"/>
        <v/>
      </c>
      <c r="H3747" s="73"/>
      <c r="I3747" s="74"/>
      <c r="J3747" s="155">
        <v>0</v>
      </c>
    </row>
    <row r="3748" spans="1:10" ht="27" hidden="1" thickBot="1" x14ac:dyDescent="0.35">
      <c r="A3748" s="227"/>
      <c r="B3748" s="224"/>
      <c r="C3748" s="36" t="s">
        <v>1187</v>
      </c>
      <c r="D3748" s="47" t="s">
        <v>292</v>
      </c>
      <c r="E3748" s="37">
        <v>24.4</v>
      </c>
      <c r="F3748" s="54">
        <v>0.10199999999999999</v>
      </c>
      <c r="G3748" s="54">
        <f t="shared" si="63"/>
        <v>2.4887999999999999</v>
      </c>
      <c r="H3748" s="39">
        <f>SUM(G3748:G3752)</f>
        <v>435.62044059999999</v>
      </c>
      <c r="I3748" s="40"/>
      <c r="J3748" s="155">
        <v>0</v>
      </c>
    </row>
    <row r="3749" spans="1:10" ht="40.200000000000003" hidden="1" thickBot="1" x14ac:dyDescent="0.35">
      <c r="A3749" s="227"/>
      <c r="B3749" s="224"/>
      <c r="C3749" s="36" t="s">
        <v>1186</v>
      </c>
      <c r="D3749" s="47" t="s">
        <v>292</v>
      </c>
      <c r="E3749" s="37">
        <v>2.0832999999999999</v>
      </c>
      <c r="F3749" s="54">
        <v>174.31800000000001</v>
      </c>
      <c r="G3749" s="54">
        <f t="shared" si="63"/>
        <v>363.1566894</v>
      </c>
      <c r="H3749" s="73"/>
      <c r="I3749" s="74"/>
      <c r="J3749" s="155">
        <v>0</v>
      </c>
    </row>
    <row r="3750" spans="1:10" ht="15" hidden="1" thickBot="1" x14ac:dyDescent="0.35">
      <c r="A3750" s="227"/>
      <c r="B3750" s="224"/>
      <c r="C3750" s="36" t="s">
        <v>1176</v>
      </c>
      <c r="D3750" s="36" t="s">
        <v>292</v>
      </c>
      <c r="E3750" s="37">
        <v>1.2466999999999999</v>
      </c>
      <c r="F3750" s="54">
        <v>18.071000000000002</v>
      </c>
      <c r="G3750" s="54">
        <f t="shared" si="63"/>
        <v>22.529115700000002</v>
      </c>
      <c r="H3750" s="73"/>
      <c r="I3750" s="74"/>
      <c r="J3750" s="155">
        <v>0</v>
      </c>
    </row>
    <row r="3751" spans="1:10" ht="15" hidden="1" thickBot="1" x14ac:dyDescent="0.35">
      <c r="A3751" s="227"/>
      <c r="B3751" s="224"/>
      <c r="C3751" s="36" t="s">
        <v>752</v>
      </c>
      <c r="D3751" s="36" t="s">
        <v>744</v>
      </c>
      <c r="E3751" s="37">
        <v>1.7070000000000001</v>
      </c>
      <c r="F3751" s="54">
        <v>20.314999999999998</v>
      </c>
      <c r="G3751" s="54">
        <f t="shared" si="63"/>
        <v>34.677704999999996</v>
      </c>
      <c r="H3751" s="73"/>
      <c r="I3751" s="74"/>
      <c r="J3751" s="155">
        <v>0</v>
      </c>
    </row>
    <row r="3752" spans="1:10" ht="15" hidden="1" thickBot="1" x14ac:dyDescent="0.35">
      <c r="A3752" s="227"/>
      <c r="B3752" s="224"/>
      <c r="C3752" s="36" t="s">
        <v>745</v>
      </c>
      <c r="D3752" s="47" t="s">
        <v>744</v>
      </c>
      <c r="E3752" s="37">
        <v>0.85299999999999998</v>
      </c>
      <c r="F3752" s="54">
        <v>14.968499999999999</v>
      </c>
      <c r="G3752" s="54">
        <f t="shared" si="63"/>
        <v>12.768130499999998</v>
      </c>
      <c r="H3752" s="73"/>
      <c r="I3752" s="74"/>
      <c r="J3752" s="155">
        <v>0</v>
      </c>
    </row>
    <row r="3753" spans="1:10" ht="15" hidden="1" thickBot="1" x14ac:dyDescent="0.35">
      <c r="A3753" s="227"/>
      <c r="B3753" s="224"/>
      <c r="C3753" s="36"/>
      <c r="D3753" s="47"/>
      <c r="E3753" s="37"/>
      <c r="F3753" s="54" t="s">
        <v>560</v>
      </c>
      <c r="G3753" s="54" t="str">
        <f t="shared" si="63"/>
        <v/>
      </c>
      <c r="H3753" s="73"/>
      <c r="I3753" s="74"/>
      <c r="J3753" s="155">
        <v>0</v>
      </c>
    </row>
    <row r="3754" spans="1:10" ht="15" hidden="1" thickBot="1" x14ac:dyDescent="0.35">
      <c r="A3754" s="226" t="s">
        <v>1188</v>
      </c>
      <c r="B3754" s="223" t="e">
        <f>INDEX(#REF!,MATCH(Composições!A3754,#REF!,0),2)</f>
        <v>#REF!</v>
      </c>
      <c r="C3754" s="41"/>
      <c r="D3754" s="26" t="e">
        <f>TRIM(INDEX(#REF!,MATCH(Composições!A3754,#REF!,0),1))</f>
        <v>#REF!</v>
      </c>
      <c r="E3754" s="27"/>
      <c r="F3754" s="49" t="s">
        <v>560</v>
      </c>
      <c r="G3754" s="28" t="str">
        <f t="shared" si="63"/>
        <v/>
      </c>
      <c r="H3754" s="29"/>
      <c r="I3754" s="30"/>
      <c r="J3754" s="155">
        <v>0</v>
      </c>
    </row>
    <row r="3755" spans="1:10" ht="15" hidden="1" thickBot="1" x14ac:dyDescent="0.35">
      <c r="A3755" s="227"/>
      <c r="B3755" s="224"/>
      <c r="C3755" s="32"/>
      <c r="D3755" s="32"/>
      <c r="E3755" s="33"/>
      <c r="F3755" s="54" t="s">
        <v>560</v>
      </c>
      <c r="G3755" s="54" t="str">
        <f t="shared" si="63"/>
        <v/>
      </c>
      <c r="H3755" s="73"/>
      <c r="I3755" s="74"/>
      <c r="J3755" s="155">
        <v>0</v>
      </c>
    </row>
    <row r="3756" spans="1:10" ht="40.200000000000003" hidden="1" thickBot="1" x14ac:dyDescent="0.35">
      <c r="A3756" s="227"/>
      <c r="B3756" s="224"/>
      <c r="C3756" s="36" t="s">
        <v>1189</v>
      </c>
      <c r="D3756" s="47" t="s">
        <v>1035</v>
      </c>
      <c r="E3756" s="37">
        <v>1</v>
      </c>
      <c r="F3756" s="54">
        <v>356.286</v>
      </c>
      <c r="G3756" s="54">
        <f t="shared" si="63"/>
        <v>356.286</v>
      </c>
      <c r="H3756" s="39">
        <f>SUM(G3756:G3762)</f>
        <v>396.73751166369999</v>
      </c>
      <c r="I3756" s="40"/>
      <c r="J3756" s="155">
        <v>0</v>
      </c>
    </row>
    <row r="3757" spans="1:10" ht="15" hidden="1" thickBot="1" x14ac:dyDescent="0.35">
      <c r="A3757" s="227"/>
      <c r="B3757" s="224"/>
      <c r="C3757" s="36" t="s">
        <v>752</v>
      </c>
      <c r="D3757" s="47" t="s">
        <v>744</v>
      </c>
      <c r="E3757" s="37">
        <v>1</v>
      </c>
      <c r="F3757" s="54">
        <v>20.314999999999998</v>
      </c>
      <c r="G3757" s="54">
        <f t="shared" si="63"/>
        <v>20.314999999999998</v>
      </c>
      <c r="H3757" s="73"/>
      <c r="I3757" s="74"/>
      <c r="J3757" s="155">
        <v>0</v>
      </c>
    </row>
    <row r="3758" spans="1:10" ht="15" hidden="1" thickBot="1" x14ac:dyDescent="0.35">
      <c r="A3758" s="227"/>
      <c r="B3758" s="224"/>
      <c r="C3758" s="36" t="s">
        <v>745</v>
      </c>
      <c r="D3758" s="36" t="s">
        <v>744</v>
      </c>
      <c r="E3758" s="37">
        <v>1.1000000000000001</v>
      </c>
      <c r="F3758" s="54">
        <v>14.968499999999999</v>
      </c>
      <c r="G3758" s="54">
        <f t="shared" si="63"/>
        <v>16.465350000000001</v>
      </c>
      <c r="H3758" s="73"/>
      <c r="I3758" s="74"/>
      <c r="J3758" s="155">
        <v>0</v>
      </c>
    </row>
    <row r="3759" spans="1:10" ht="27" hidden="1" thickBot="1" x14ac:dyDescent="0.35">
      <c r="A3759" s="227"/>
      <c r="B3759" s="224"/>
      <c r="C3759" s="36" t="s">
        <v>793</v>
      </c>
      <c r="D3759" s="47" t="s">
        <v>122</v>
      </c>
      <c r="E3759" s="37">
        <v>1.2999999999999999E-2</v>
      </c>
      <c r="F3759" s="54">
        <v>76.5</v>
      </c>
      <c r="G3759" s="54">
        <f t="shared" si="63"/>
        <v>0.99449999999999994</v>
      </c>
      <c r="H3759" s="73"/>
      <c r="I3759" s="74"/>
      <c r="J3759" s="155">
        <v>0</v>
      </c>
    </row>
    <row r="3760" spans="1:10" ht="15" hidden="1" thickBot="1" x14ac:dyDescent="0.35">
      <c r="A3760" s="227"/>
      <c r="B3760" s="224"/>
      <c r="C3760" s="36" t="s">
        <v>789</v>
      </c>
      <c r="D3760" s="47" t="s">
        <v>939</v>
      </c>
      <c r="E3760" s="37">
        <v>4.58</v>
      </c>
      <c r="F3760" s="54">
        <v>0.46750000000000003</v>
      </c>
      <c r="G3760" s="54">
        <f t="shared" si="63"/>
        <v>2.1411500000000001</v>
      </c>
      <c r="H3760" s="73"/>
      <c r="I3760" s="74"/>
      <c r="J3760" s="155">
        <v>0</v>
      </c>
    </row>
    <row r="3761" spans="1:10" ht="53.4" hidden="1" thickBot="1" x14ac:dyDescent="0.35">
      <c r="A3761" s="227"/>
      <c r="B3761" s="224"/>
      <c r="C3761" s="36" t="s">
        <v>1931</v>
      </c>
      <c r="D3761" s="36" t="s">
        <v>110</v>
      </c>
      <c r="E3761" s="37">
        <f>1*E3759</f>
        <v>1.2999999999999999E-2</v>
      </c>
      <c r="F3761" s="34">
        <v>5.4059098999999993</v>
      </c>
      <c r="G3761" s="34">
        <f t="shared" si="63"/>
        <v>7.0276828699999988E-2</v>
      </c>
      <c r="H3761" s="35"/>
      <c r="I3761" s="31"/>
      <c r="J3761" s="155">
        <v>0</v>
      </c>
    </row>
    <row r="3762" spans="1:10" ht="27" hidden="1" thickBot="1" x14ac:dyDescent="0.35">
      <c r="A3762" s="227"/>
      <c r="B3762" s="224"/>
      <c r="C3762" s="36" t="s">
        <v>123</v>
      </c>
      <c r="D3762" s="47" t="s">
        <v>124</v>
      </c>
      <c r="E3762" s="37">
        <f>E3759*20</f>
        <v>0.26</v>
      </c>
      <c r="F3762" s="54">
        <v>1.7893647499999998</v>
      </c>
      <c r="G3762" s="54">
        <f t="shared" si="63"/>
        <v>0.46523483499999996</v>
      </c>
      <c r="H3762" s="73"/>
      <c r="I3762" s="74"/>
      <c r="J3762" s="155">
        <v>0</v>
      </c>
    </row>
    <row r="3763" spans="1:10" ht="15" hidden="1" thickBot="1" x14ac:dyDescent="0.35">
      <c r="A3763" s="227"/>
      <c r="B3763" s="224"/>
      <c r="C3763" s="51"/>
      <c r="D3763" s="47"/>
      <c r="E3763" s="37"/>
      <c r="F3763" s="54" t="s">
        <v>560</v>
      </c>
      <c r="G3763" s="54" t="str">
        <f t="shared" si="63"/>
        <v/>
      </c>
      <c r="H3763" s="73"/>
      <c r="I3763" s="74"/>
      <c r="J3763" s="155">
        <v>0</v>
      </c>
    </row>
    <row r="3764" spans="1:10" ht="15" hidden="1" thickBot="1" x14ac:dyDescent="0.35">
      <c r="A3764" s="227"/>
      <c r="B3764" s="224"/>
      <c r="C3764" s="48" t="s">
        <v>796</v>
      </c>
      <c r="D3764" s="47"/>
      <c r="E3764" s="37"/>
      <c r="F3764" s="54" t="s">
        <v>560</v>
      </c>
      <c r="G3764" s="54" t="str">
        <f t="shared" si="63"/>
        <v/>
      </c>
      <c r="H3764" s="73"/>
      <c r="I3764" s="74"/>
      <c r="J3764" s="155">
        <v>0</v>
      </c>
    </row>
    <row r="3765" spans="1:10" ht="15" hidden="1" thickBot="1" x14ac:dyDescent="0.35">
      <c r="A3765" s="228"/>
      <c r="B3765" s="225"/>
      <c r="C3765" s="48"/>
      <c r="D3765" s="47"/>
      <c r="E3765" s="37"/>
      <c r="F3765" s="54" t="s">
        <v>560</v>
      </c>
      <c r="G3765" s="54" t="str">
        <f t="shared" si="63"/>
        <v/>
      </c>
      <c r="H3765" s="73"/>
      <c r="I3765" s="74"/>
      <c r="J3765" s="155">
        <v>0</v>
      </c>
    </row>
    <row r="3766" spans="1:10" ht="15" hidden="1" thickBot="1" x14ac:dyDescent="0.35">
      <c r="A3766" s="226" t="s">
        <v>1190</v>
      </c>
      <c r="B3766" s="223" t="e">
        <f>INDEX(#REF!,MATCH(Composições!A3766,#REF!,0),2)</f>
        <v>#REF!</v>
      </c>
      <c r="C3766" s="41"/>
      <c r="D3766" s="26" t="e">
        <f>TRIM(INDEX(#REF!,MATCH(Composições!A3766,#REF!,0),1))</f>
        <v>#REF!</v>
      </c>
      <c r="E3766" s="27"/>
      <c r="F3766" s="49" t="s">
        <v>560</v>
      </c>
      <c r="G3766" s="28" t="str">
        <f t="shared" si="63"/>
        <v/>
      </c>
      <c r="H3766" s="29"/>
      <c r="I3766" s="30"/>
      <c r="J3766" s="155">
        <v>0</v>
      </c>
    </row>
    <row r="3767" spans="1:10" ht="15" hidden="1" thickBot="1" x14ac:dyDescent="0.35">
      <c r="A3767" s="227"/>
      <c r="B3767" s="224"/>
      <c r="C3767" s="32"/>
      <c r="D3767" s="32"/>
      <c r="E3767" s="33"/>
      <c r="F3767" s="54" t="s">
        <v>560</v>
      </c>
      <c r="G3767" s="54" t="str">
        <f t="shared" si="63"/>
        <v/>
      </c>
      <c r="H3767" s="73"/>
      <c r="I3767" s="74"/>
      <c r="J3767" s="155">
        <v>0</v>
      </c>
    </row>
    <row r="3768" spans="1:10" ht="15" hidden="1" thickBot="1" x14ac:dyDescent="0.35">
      <c r="A3768" s="227"/>
      <c r="B3768" s="224"/>
      <c r="C3768" s="36" t="s">
        <v>338</v>
      </c>
      <c r="D3768" s="47" t="s">
        <v>292</v>
      </c>
      <c r="E3768" s="37">
        <v>0.20519999999999999</v>
      </c>
      <c r="F3768" s="54">
        <v>11.4665</v>
      </c>
      <c r="G3768" s="54">
        <f t="shared" si="63"/>
        <v>2.3529258</v>
      </c>
      <c r="H3768" s="39">
        <f>SUM(G3768:G3779)</f>
        <v>520.73587910000003</v>
      </c>
      <c r="I3768" s="40"/>
      <c r="J3768" s="155">
        <v>0</v>
      </c>
    </row>
    <row r="3769" spans="1:10" ht="27" hidden="1" thickBot="1" x14ac:dyDescent="0.35">
      <c r="A3769" s="227"/>
      <c r="B3769" s="224"/>
      <c r="C3769" s="36" t="s">
        <v>1191</v>
      </c>
      <c r="D3769" s="47" t="s">
        <v>292</v>
      </c>
      <c r="E3769" s="37">
        <v>2</v>
      </c>
      <c r="F3769" s="54">
        <v>8.16</v>
      </c>
      <c r="G3769" s="54">
        <f t="shared" si="63"/>
        <v>16.32</v>
      </c>
      <c r="H3769" s="73"/>
      <c r="I3769" s="74"/>
      <c r="J3769" s="155">
        <v>0</v>
      </c>
    </row>
    <row r="3770" spans="1:10" ht="15" hidden="1" thickBot="1" x14ac:dyDescent="0.35">
      <c r="A3770" s="227"/>
      <c r="B3770" s="224"/>
      <c r="C3770" s="36" t="s">
        <v>1192</v>
      </c>
      <c r="D3770" s="47" t="s">
        <v>292</v>
      </c>
      <c r="E3770" s="37">
        <v>4</v>
      </c>
      <c r="F3770" s="54">
        <v>6.0519999999999996</v>
      </c>
      <c r="G3770" s="54">
        <f t="shared" si="63"/>
        <v>24.207999999999998</v>
      </c>
      <c r="H3770" s="73"/>
      <c r="I3770" s="74"/>
      <c r="J3770" s="155">
        <v>0</v>
      </c>
    </row>
    <row r="3771" spans="1:10" ht="15" hidden="1" thickBot="1" x14ac:dyDescent="0.35">
      <c r="A3771" s="227"/>
      <c r="B3771" s="224"/>
      <c r="C3771" s="36" t="s">
        <v>1193</v>
      </c>
      <c r="D3771" s="47" t="s">
        <v>292</v>
      </c>
      <c r="E3771" s="37">
        <v>2</v>
      </c>
      <c r="F3771" s="54">
        <v>2.1589999999999998</v>
      </c>
      <c r="G3771" s="54">
        <f t="shared" si="63"/>
        <v>4.3179999999999996</v>
      </c>
      <c r="H3771" s="73"/>
      <c r="I3771" s="74"/>
      <c r="J3771" s="155">
        <v>0</v>
      </c>
    </row>
    <row r="3772" spans="1:10" ht="27" hidden="1" thickBot="1" x14ac:dyDescent="0.35">
      <c r="A3772" s="227"/>
      <c r="B3772" s="224"/>
      <c r="C3772" s="36" t="s">
        <v>1194</v>
      </c>
      <c r="D3772" s="47" t="s">
        <v>292</v>
      </c>
      <c r="E3772" s="37">
        <v>2</v>
      </c>
      <c r="F3772" s="54">
        <v>13.276999999999999</v>
      </c>
      <c r="G3772" s="54">
        <f t="shared" si="63"/>
        <v>26.553999999999998</v>
      </c>
      <c r="H3772" s="73"/>
      <c r="I3772" s="74"/>
      <c r="J3772" s="155">
        <v>0</v>
      </c>
    </row>
    <row r="3773" spans="1:10" ht="27" hidden="1" thickBot="1" x14ac:dyDescent="0.35">
      <c r="A3773" s="227"/>
      <c r="B3773" s="224"/>
      <c r="C3773" s="36" t="s">
        <v>1195</v>
      </c>
      <c r="D3773" s="47" t="s">
        <v>292</v>
      </c>
      <c r="E3773" s="37">
        <v>1</v>
      </c>
      <c r="F3773" s="54">
        <v>17.433500000000002</v>
      </c>
      <c r="G3773" s="54">
        <f t="shared" si="63"/>
        <v>17.433500000000002</v>
      </c>
      <c r="H3773" s="73"/>
      <c r="I3773" s="74"/>
      <c r="J3773" s="155">
        <v>0</v>
      </c>
    </row>
    <row r="3774" spans="1:10" ht="15" hidden="1" thickBot="1" x14ac:dyDescent="0.35">
      <c r="A3774" s="227"/>
      <c r="B3774" s="224"/>
      <c r="C3774" s="36" t="s">
        <v>1196</v>
      </c>
      <c r="D3774" s="47" t="s">
        <v>292</v>
      </c>
      <c r="E3774" s="37">
        <v>3</v>
      </c>
      <c r="F3774" s="54">
        <v>61.650500000000001</v>
      </c>
      <c r="G3774" s="54">
        <f t="shared" si="63"/>
        <v>184.95150000000001</v>
      </c>
      <c r="H3774" s="73"/>
      <c r="I3774" s="74"/>
      <c r="J3774" s="155">
        <v>0</v>
      </c>
    </row>
    <row r="3775" spans="1:10" ht="15" hidden="1" thickBot="1" x14ac:dyDescent="0.35">
      <c r="A3775" s="227"/>
      <c r="B3775" s="224"/>
      <c r="C3775" s="36" t="s">
        <v>1197</v>
      </c>
      <c r="D3775" s="47" t="s">
        <v>292</v>
      </c>
      <c r="E3775" s="37">
        <v>2</v>
      </c>
      <c r="F3775" s="54">
        <v>39.558999999999997</v>
      </c>
      <c r="G3775" s="54">
        <f t="shared" si="63"/>
        <v>79.117999999999995</v>
      </c>
      <c r="H3775" s="73"/>
      <c r="I3775" s="74"/>
      <c r="J3775" s="155">
        <v>0</v>
      </c>
    </row>
    <row r="3776" spans="1:10" ht="27" hidden="1" thickBot="1" x14ac:dyDescent="0.35">
      <c r="A3776" s="227"/>
      <c r="B3776" s="224"/>
      <c r="C3776" s="36" t="s">
        <v>1198</v>
      </c>
      <c r="D3776" s="47" t="s">
        <v>515</v>
      </c>
      <c r="E3776" s="37">
        <v>0.72729999999999995</v>
      </c>
      <c r="F3776" s="54">
        <v>43.826000000000001</v>
      </c>
      <c r="G3776" s="54">
        <f t="shared" si="63"/>
        <v>31.874649799999997</v>
      </c>
      <c r="H3776" s="73"/>
      <c r="I3776" s="74"/>
      <c r="J3776" s="155">
        <v>0</v>
      </c>
    </row>
    <row r="3777" spans="1:10" ht="27" hidden="1" thickBot="1" x14ac:dyDescent="0.35">
      <c r="A3777" s="227"/>
      <c r="B3777" s="224"/>
      <c r="C3777" s="36" t="s">
        <v>994</v>
      </c>
      <c r="D3777" s="47" t="s">
        <v>744</v>
      </c>
      <c r="E3777" s="37">
        <v>1.6462000000000001</v>
      </c>
      <c r="F3777" s="54">
        <v>15.4955</v>
      </c>
      <c r="G3777" s="54">
        <f t="shared" ref="G3777:G3840" si="64">IF(ISNUMBER(F3777),E3777*F3777,"")</f>
        <v>25.508692100000001</v>
      </c>
      <c r="H3777" s="73"/>
      <c r="I3777" s="74"/>
      <c r="J3777" s="155">
        <v>0</v>
      </c>
    </row>
    <row r="3778" spans="1:10" ht="27" hidden="1" thickBot="1" x14ac:dyDescent="0.35">
      <c r="A3778" s="227"/>
      <c r="B3778" s="224"/>
      <c r="C3778" s="36" t="s">
        <v>995</v>
      </c>
      <c r="D3778" s="47" t="s">
        <v>744</v>
      </c>
      <c r="E3778" s="37">
        <v>5.4324000000000003</v>
      </c>
      <c r="F3778" s="54">
        <v>19.898499999999999</v>
      </c>
      <c r="G3778" s="54">
        <f t="shared" si="64"/>
        <v>108.0966114</v>
      </c>
      <c r="H3778" s="73"/>
      <c r="I3778" s="74"/>
      <c r="J3778" s="155">
        <v>0</v>
      </c>
    </row>
    <row r="3779" spans="1:10" ht="15" hidden="1" thickBot="1" x14ac:dyDescent="0.35">
      <c r="A3779" s="227"/>
      <c r="B3779" s="224"/>
      <c r="C3779" s="36" t="s">
        <v>1199</v>
      </c>
      <c r="D3779" s="47" t="s">
        <v>292</v>
      </c>
      <c r="E3779" s="37">
        <v>1</v>
      </c>
      <c r="F3779" s="54" t="s">
        <v>560</v>
      </c>
      <c r="G3779" s="54" t="str">
        <f t="shared" si="64"/>
        <v/>
      </c>
      <c r="H3779" s="73"/>
      <c r="I3779" s="74"/>
      <c r="J3779" s="155">
        <v>0</v>
      </c>
    </row>
    <row r="3780" spans="1:10" ht="15" hidden="1" thickBot="1" x14ac:dyDescent="0.35">
      <c r="A3780" s="227"/>
      <c r="B3780" s="224"/>
      <c r="C3780" s="55"/>
      <c r="D3780" s="55"/>
      <c r="E3780" s="66"/>
      <c r="F3780" s="76" t="s">
        <v>560</v>
      </c>
      <c r="G3780" s="76" t="str">
        <f t="shared" si="64"/>
        <v/>
      </c>
      <c r="H3780" s="77"/>
      <c r="I3780" s="74"/>
      <c r="J3780" s="155">
        <v>0</v>
      </c>
    </row>
    <row r="3781" spans="1:10" ht="15" hidden="1" thickBot="1" x14ac:dyDescent="0.35">
      <c r="A3781" s="226" t="s">
        <v>1200</v>
      </c>
      <c r="B3781" s="223" t="e">
        <f>INDEX(#REF!,MATCH(Composições!A3781,#REF!,0),2)</f>
        <v>#REF!</v>
      </c>
      <c r="C3781" s="41"/>
      <c r="D3781" s="26" t="e">
        <f>TRIM(INDEX(#REF!,MATCH(Composições!A3781,#REF!,0),1))</f>
        <v>#REF!</v>
      </c>
      <c r="E3781" s="27"/>
      <c r="F3781" s="49" t="s">
        <v>560</v>
      </c>
      <c r="G3781" s="28" t="str">
        <f t="shared" si="64"/>
        <v/>
      </c>
      <c r="H3781" s="29"/>
      <c r="I3781" s="30"/>
      <c r="J3781" s="155">
        <v>0</v>
      </c>
    </row>
    <row r="3782" spans="1:10" ht="15" hidden="1" thickBot="1" x14ac:dyDescent="0.35">
      <c r="A3782" s="227"/>
      <c r="B3782" s="224"/>
      <c r="C3782" s="32"/>
      <c r="D3782" s="32"/>
      <c r="E3782" s="33"/>
      <c r="F3782" s="54" t="s">
        <v>560</v>
      </c>
      <c r="G3782" s="54" t="str">
        <f t="shared" si="64"/>
        <v/>
      </c>
      <c r="H3782" s="73"/>
      <c r="I3782" s="74"/>
      <c r="J3782" s="155">
        <v>0</v>
      </c>
    </row>
    <row r="3783" spans="1:10" ht="15" hidden="1" thickBot="1" x14ac:dyDescent="0.35">
      <c r="A3783" s="227"/>
      <c r="B3783" s="224"/>
      <c r="C3783" s="36" t="s">
        <v>338</v>
      </c>
      <c r="D3783" s="36" t="s">
        <v>292</v>
      </c>
      <c r="E3783" s="37">
        <v>1.2999999999999999E-2</v>
      </c>
      <c r="F3783" s="54">
        <v>11.4665</v>
      </c>
      <c r="G3783" s="54">
        <f t="shared" si="64"/>
        <v>0.14906449999999999</v>
      </c>
      <c r="H3783" s="39">
        <f>SUM(G3783:G3786)</f>
        <v>7.2278644999999999</v>
      </c>
      <c r="I3783" s="40"/>
      <c r="J3783" s="155">
        <v>0</v>
      </c>
    </row>
    <row r="3784" spans="1:10" ht="15" hidden="1" thickBot="1" x14ac:dyDescent="0.35">
      <c r="A3784" s="227"/>
      <c r="B3784" s="224"/>
      <c r="C3784" s="36" t="s">
        <v>1201</v>
      </c>
      <c r="D3784" s="36" t="s">
        <v>292</v>
      </c>
      <c r="E3784" s="37">
        <v>1</v>
      </c>
      <c r="F3784" s="54" t="s">
        <v>560</v>
      </c>
      <c r="G3784" s="54" t="str">
        <f t="shared" si="64"/>
        <v/>
      </c>
      <c r="H3784" s="73"/>
      <c r="I3784" s="74"/>
      <c r="J3784" s="155">
        <v>0</v>
      </c>
    </row>
    <row r="3785" spans="1:10" ht="27" hidden="1" thickBot="1" x14ac:dyDescent="0.35">
      <c r="A3785" s="227"/>
      <c r="B3785" s="224"/>
      <c r="C3785" s="36" t="s">
        <v>994</v>
      </c>
      <c r="D3785" s="36" t="s">
        <v>744</v>
      </c>
      <c r="E3785" s="37">
        <v>0.2</v>
      </c>
      <c r="F3785" s="54">
        <v>15.4955</v>
      </c>
      <c r="G3785" s="54">
        <f t="shared" si="64"/>
        <v>3.0991</v>
      </c>
      <c r="H3785" s="73"/>
      <c r="I3785" s="74"/>
      <c r="J3785" s="155">
        <v>0</v>
      </c>
    </row>
    <row r="3786" spans="1:10" ht="27" hidden="1" thickBot="1" x14ac:dyDescent="0.35">
      <c r="A3786" s="227"/>
      <c r="B3786" s="224"/>
      <c r="C3786" s="36" t="s">
        <v>995</v>
      </c>
      <c r="D3786" s="36" t="s">
        <v>744</v>
      </c>
      <c r="E3786" s="37">
        <v>0.2</v>
      </c>
      <c r="F3786" s="54">
        <v>19.898499999999999</v>
      </c>
      <c r="G3786" s="54">
        <f t="shared" si="64"/>
        <v>3.9796999999999998</v>
      </c>
      <c r="H3786" s="73"/>
      <c r="I3786" s="74"/>
      <c r="J3786" s="155">
        <v>0</v>
      </c>
    </row>
    <row r="3787" spans="1:10" ht="15" hidden="1" thickBot="1" x14ac:dyDescent="0.35">
      <c r="A3787" s="227"/>
      <c r="B3787" s="224"/>
      <c r="C3787" s="55"/>
      <c r="D3787" s="55"/>
      <c r="E3787" s="66"/>
      <c r="F3787" s="76" t="s">
        <v>560</v>
      </c>
      <c r="G3787" s="76" t="str">
        <f t="shared" si="64"/>
        <v/>
      </c>
      <c r="H3787" s="77"/>
      <c r="I3787" s="74"/>
      <c r="J3787" s="155">
        <v>0</v>
      </c>
    </row>
    <row r="3788" spans="1:10" ht="15" thickBot="1" x14ac:dyDescent="0.35">
      <c r="A3788" s="226" t="s">
        <v>1202</v>
      </c>
      <c r="B3788" s="223" t="str">
        <f>INDEX(Orçamentária!A:B,MATCH(Composições!A3788,Orçamentária!A:A,0),2)</f>
        <v>Placa de Concreto Pré-Moldado 15 Mpa</v>
      </c>
      <c r="C3788" s="41"/>
      <c r="D3788" s="26" t="str">
        <f>TRIM(INDEX(Orçamentária!C:C,MATCH(Composições!A3788,Orçamentária!A:A,0),1))</f>
        <v>m3</v>
      </c>
      <c r="E3788" s="27"/>
      <c r="F3788" s="49" t="s">
        <v>560</v>
      </c>
      <c r="G3788" s="28" t="str">
        <f t="shared" si="64"/>
        <v/>
      </c>
      <c r="H3788" s="29"/>
      <c r="I3788" s="30"/>
      <c r="J3788" s="155">
        <v>4</v>
      </c>
    </row>
    <row r="3789" spans="1:10" x14ac:dyDescent="0.3">
      <c r="A3789" s="227"/>
      <c r="B3789" s="224"/>
      <c r="C3789" s="32"/>
      <c r="D3789" s="32"/>
      <c r="E3789" s="33"/>
      <c r="F3789" s="54" t="s">
        <v>560</v>
      </c>
      <c r="G3789" s="54" t="str">
        <f t="shared" si="64"/>
        <v/>
      </c>
      <c r="H3789" s="73"/>
      <c r="I3789" s="74"/>
      <c r="J3789" s="155">
        <v>4</v>
      </c>
    </row>
    <row r="3790" spans="1:10" ht="26.4" x14ac:dyDescent="0.3">
      <c r="A3790" s="227"/>
      <c r="B3790" s="224"/>
      <c r="C3790" s="36" t="s">
        <v>1203</v>
      </c>
      <c r="D3790" s="36" t="s">
        <v>1035</v>
      </c>
      <c r="E3790" s="37">
        <v>2.9790000000000001</v>
      </c>
      <c r="F3790" s="54">
        <v>40.536499999999997</v>
      </c>
      <c r="G3790" s="54">
        <f t="shared" si="64"/>
        <v>120.75823349999999</v>
      </c>
      <c r="H3790" s="39">
        <f>SUM(G3790:G3802)</f>
        <v>2728.87782908595</v>
      </c>
      <c r="I3790" s="40"/>
      <c r="J3790" s="155">
        <v>4</v>
      </c>
    </row>
    <row r="3791" spans="1:10" ht="26.4" x14ac:dyDescent="0.3">
      <c r="A3791" s="227"/>
      <c r="B3791" s="224"/>
      <c r="C3791" s="36" t="s">
        <v>1204</v>
      </c>
      <c r="D3791" s="36" t="s">
        <v>103</v>
      </c>
      <c r="E3791" s="37">
        <v>0.12</v>
      </c>
      <c r="F3791" s="54">
        <v>5.4824999999999999</v>
      </c>
      <c r="G3791" s="54">
        <f t="shared" si="64"/>
        <v>0.65789999999999993</v>
      </c>
      <c r="H3791" s="73"/>
      <c r="I3791" s="74"/>
      <c r="J3791" s="155">
        <v>4</v>
      </c>
    </row>
    <row r="3792" spans="1:10" x14ac:dyDescent="0.3">
      <c r="A3792" s="227"/>
      <c r="B3792" s="224"/>
      <c r="C3792" s="36" t="s">
        <v>1205</v>
      </c>
      <c r="D3792" s="36" t="s">
        <v>939</v>
      </c>
      <c r="E3792" s="37">
        <v>0.64449999999999996</v>
      </c>
      <c r="F3792" s="54">
        <v>19.048500000000001</v>
      </c>
      <c r="G3792" s="54">
        <f t="shared" si="64"/>
        <v>12.27675825</v>
      </c>
      <c r="H3792" s="73"/>
      <c r="I3792" s="74"/>
      <c r="J3792" s="155">
        <v>4</v>
      </c>
    </row>
    <row r="3793" spans="1:10" x14ac:dyDescent="0.3">
      <c r="A3793" s="227"/>
      <c r="B3793" s="224"/>
      <c r="C3793" s="36" t="s">
        <v>827</v>
      </c>
      <c r="D3793" s="36" t="s">
        <v>744</v>
      </c>
      <c r="E3793" s="37">
        <v>1.8137000000000001</v>
      </c>
      <c r="F3793" s="54">
        <v>16.966000000000001</v>
      </c>
      <c r="G3793" s="54">
        <f t="shared" si="64"/>
        <v>30.771234200000002</v>
      </c>
      <c r="H3793" s="73"/>
      <c r="I3793" s="74"/>
      <c r="J3793" s="155">
        <v>4</v>
      </c>
    </row>
    <row r="3794" spans="1:10" x14ac:dyDescent="0.3">
      <c r="A3794" s="227"/>
      <c r="B3794" s="224"/>
      <c r="C3794" s="36" t="s">
        <v>743</v>
      </c>
      <c r="D3794" s="36" t="s">
        <v>744</v>
      </c>
      <c r="E3794" s="37">
        <v>9.0685000000000002</v>
      </c>
      <c r="F3794" s="54">
        <v>20.161999999999999</v>
      </c>
      <c r="G3794" s="54">
        <f t="shared" si="64"/>
        <v>182.83909700000001</v>
      </c>
      <c r="H3794" s="73"/>
      <c r="I3794" s="74"/>
      <c r="J3794" s="155">
        <v>4</v>
      </c>
    </row>
    <row r="3795" spans="1:10" x14ac:dyDescent="0.3">
      <c r="A3795" s="227"/>
      <c r="B3795" s="224"/>
      <c r="C3795" s="36" t="s">
        <v>752</v>
      </c>
      <c r="D3795" s="36" t="s">
        <v>744</v>
      </c>
      <c r="E3795" s="37">
        <v>32.192999999999998</v>
      </c>
      <c r="F3795" s="54">
        <v>20.314999999999998</v>
      </c>
      <c r="G3795" s="54">
        <f t="shared" si="64"/>
        <v>654.00079499999993</v>
      </c>
      <c r="H3795" s="73"/>
      <c r="I3795" s="74"/>
      <c r="J3795" s="155">
        <v>4</v>
      </c>
    </row>
    <row r="3796" spans="1:10" x14ac:dyDescent="0.3">
      <c r="A3796" s="227"/>
      <c r="B3796" s="224"/>
      <c r="C3796" s="36" t="s">
        <v>745</v>
      </c>
      <c r="D3796" s="36" t="s">
        <v>744</v>
      </c>
      <c r="E3796" s="37">
        <v>32.192999999999998</v>
      </c>
      <c r="F3796" s="54">
        <v>14.968499999999999</v>
      </c>
      <c r="G3796" s="54">
        <f t="shared" si="64"/>
        <v>481.88092049999995</v>
      </c>
      <c r="H3796" s="73"/>
      <c r="I3796" s="74"/>
      <c r="J3796" s="155">
        <v>4</v>
      </c>
    </row>
    <row r="3797" spans="1:10" ht="26.4" x14ac:dyDescent="0.3">
      <c r="A3797" s="227"/>
      <c r="B3797" s="224"/>
      <c r="C3797" s="36" t="s">
        <v>1206</v>
      </c>
      <c r="D3797" s="36" t="s">
        <v>983</v>
      </c>
      <c r="E3797" s="37">
        <v>6.6319999999999997</v>
      </c>
      <c r="F3797" s="54">
        <v>1.343</v>
      </c>
      <c r="G3797" s="54">
        <f t="shared" si="64"/>
        <v>8.9067759999999989</v>
      </c>
      <c r="H3797" s="73"/>
      <c r="I3797" s="74"/>
      <c r="J3797" s="155">
        <v>4</v>
      </c>
    </row>
    <row r="3798" spans="1:10" ht="26.4" x14ac:dyDescent="0.3">
      <c r="A3798" s="227"/>
      <c r="B3798" s="224"/>
      <c r="C3798" s="36" t="s">
        <v>1207</v>
      </c>
      <c r="D3798" s="36" t="s">
        <v>985</v>
      </c>
      <c r="E3798" s="37">
        <v>18.246200000000002</v>
      </c>
      <c r="F3798" s="54">
        <v>0.35699999999999998</v>
      </c>
      <c r="G3798" s="54">
        <f t="shared" si="64"/>
        <v>6.5138934000000006</v>
      </c>
      <c r="H3798" s="73"/>
      <c r="I3798" s="74"/>
      <c r="J3798" s="155">
        <v>4</v>
      </c>
    </row>
    <row r="3799" spans="1:10" ht="26.4" x14ac:dyDescent="0.3">
      <c r="A3799" s="227"/>
      <c r="B3799" s="224"/>
      <c r="C3799" s="36" t="s">
        <v>1208</v>
      </c>
      <c r="D3799" s="36" t="s">
        <v>983</v>
      </c>
      <c r="E3799" s="37">
        <v>0.77359999999999995</v>
      </c>
      <c r="F3799" s="54">
        <v>17.807499999999997</v>
      </c>
      <c r="G3799" s="54">
        <f t="shared" si="64"/>
        <v>13.775881999999998</v>
      </c>
      <c r="H3799" s="73"/>
      <c r="I3799" s="74"/>
      <c r="J3799" s="155">
        <v>4</v>
      </c>
    </row>
    <row r="3800" spans="1:10" ht="26.4" x14ac:dyDescent="0.3">
      <c r="A3800" s="227"/>
      <c r="B3800" s="224"/>
      <c r="C3800" s="36" t="s">
        <v>1209</v>
      </c>
      <c r="D3800" s="36" t="s">
        <v>985</v>
      </c>
      <c r="E3800" s="37">
        <v>1.0401</v>
      </c>
      <c r="F3800" s="54">
        <v>15.911999999999999</v>
      </c>
      <c r="G3800" s="54">
        <f t="shared" si="64"/>
        <v>16.550071199999998</v>
      </c>
      <c r="H3800" s="73"/>
      <c r="I3800" s="74"/>
      <c r="J3800" s="155">
        <v>4</v>
      </c>
    </row>
    <row r="3801" spans="1:10" ht="39.6" x14ac:dyDescent="0.3">
      <c r="A3801" s="227"/>
      <c r="B3801" s="224"/>
      <c r="C3801" s="36" t="s">
        <v>1210</v>
      </c>
      <c r="D3801" s="36" t="s">
        <v>939</v>
      </c>
      <c r="E3801" s="37">
        <v>42.646299999999997</v>
      </c>
      <c r="F3801" s="54">
        <v>17.867107100000002</v>
      </c>
      <c r="G3801" s="54">
        <f t="shared" si="64"/>
        <v>761.96600951873006</v>
      </c>
      <c r="H3801" s="73"/>
      <c r="I3801" s="74"/>
      <c r="J3801" s="155">
        <v>4</v>
      </c>
    </row>
    <row r="3802" spans="1:10" ht="26.4" x14ac:dyDescent="0.3">
      <c r="A3802" s="227"/>
      <c r="B3802" s="224"/>
      <c r="C3802" s="36" t="s">
        <v>1211</v>
      </c>
      <c r="D3802" s="36" t="s">
        <v>122</v>
      </c>
      <c r="E3802" s="37">
        <v>1.2</v>
      </c>
      <c r="F3802" s="54">
        <v>364.98354876434996</v>
      </c>
      <c r="G3802" s="54">
        <f t="shared" si="64"/>
        <v>437.98025851721997</v>
      </c>
      <c r="H3802" s="73"/>
      <c r="I3802" s="74"/>
      <c r="J3802" s="155">
        <v>4</v>
      </c>
    </row>
    <row r="3803" spans="1:10" ht="15" thickBot="1" x14ac:dyDescent="0.35">
      <c r="A3803" s="228"/>
      <c r="B3803" s="225"/>
      <c r="C3803" s="55"/>
      <c r="D3803" s="55"/>
      <c r="E3803" s="66"/>
      <c r="F3803" s="76" t="s">
        <v>560</v>
      </c>
      <c r="G3803" s="76" t="str">
        <f t="shared" si="64"/>
        <v/>
      </c>
      <c r="H3803" s="77"/>
      <c r="I3803" s="74"/>
      <c r="J3803" s="155">
        <v>4</v>
      </c>
    </row>
    <row r="3804" spans="1:10" ht="15" thickBot="1" x14ac:dyDescent="0.35">
      <c r="A3804" s="226" t="s">
        <v>1212</v>
      </c>
      <c r="B3804" s="223" t="str">
        <f>INDEX(Orçamentária!A:B,MATCH(Composições!A3804,Orçamentária!A:A,0),2)</f>
        <v>Eletroduto PEAD 3”</v>
      </c>
      <c r="C3804" s="41"/>
      <c r="D3804" s="26" t="str">
        <f>TRIM(INDEX(Orçamentária!C:C,MATCH(Composições!A3804,Orçamentária!A:A,0),1))</f>
        <v>m</v>
      </c>
      <c r="E3804" s="27"/>
      <c r="F3804" s="49" t="s">
        <v>560</v>
      </c>
      <c r="G3804" s="28" t="str">
        <f t="shared" si="64"/>
        <v/>
      </c>
      <c r="H3804" s="29"/>
      <c r="I3804" s="30"/>
      <c r="J3804" s="155">
        <v>35</v>
      </c>
    </row>
    <row r="3805" spans="1:10" x14ac:dyDescent="0.3">
      <c r="A3805" s="227"/>
      <c r="B3805" s="224"/>
      <c r="C3805" s="32"/>
      <c r="D3805" s="32"/>
      <c r="E3805" s="33"/>
      <c r="F3805" s="54" t="s">
        <v>560</v>
      </c>
      <c r="G3805" s="54" t="str">
        <f t="shared" si="64"/>
        <v/>
      </c>
      <c r="H3805" s="73"/>
      <c r="I3805" s="74"/>
      <c r="J3805" s="155">
        <v>35</v>
      </c>
    </row>
    <row r="3806" spans="1:10" ht="39.6" x14ac:dyDescent="0.3">
      <c r="A3806" s="227"/>
      <c r="B3806" s="224"/>
      <c r="C3806" s="36" t="s">
        <v>1213</v>
      </c>
      <c r="D3806" s="36" t="s">
        <v>515</v>
      </c>
      <c r="E3806" s="37">
        <v>1.1000000000000001</v>
      </c>
      <c r="F3806" s="54">
        <v>8.0749999999999993</v>
      </c>
      <c r="G3806" s="54">
        <f t="shared" si="64"/>
        <v>8.8825000000000003</v>
      </c>
      <c r="H3806" s="39">
        <f>SUM(G3806:G3808)</f>
        <v>16.019644</v>
      </c>
      <c r="I3806" s="40"/>
      <c r="J3806" s="155">
        <v>35</v>
      </c>
    </row>
    <row r="3807" spans="1:10" x14ac:dyDescent="0.3">
      <c r="A3807" s="227"/>
      <c r="B3807" s="224"/>
      <c r="C3807" s="36" t="s">
        <v>1214</v>
      </c>
      <c r="D3807" s="36" t="s">
        <v>744</v>
      </c>
      <c r="E3807" s="37">
        <v>0.19600000000000001</v>
      </c>
      <c r="F3807" s="54">
        <v>15.928999999999998</v>
      </c>
      <c r="G3807" s="54">
        <f t="shared" si="64"/>
        <v>3.1220839999999996</v>
      </c>
      <c r="H3807" s="73"/>
      <c r="I3807" s="74"/>
      <c r="J3807" s="155">
        <v>35</v>
      </c>
    </row>
    <row r="3808" spans="1:10" x14ac:dyDescent="0.3">
      <c r="A3808" s="227"/>
      <c r="B3808" s="224"/>
      <c r="C3808" s="36" t="s">
        <v>1215</v>
      </c>
      <c r="D3808" s="36" t="s">
        <v>744</v>
      </c>
      <c r="E3808" s="37">
        <v>0.19600000000000001</v>
      </c>
      <c r="F3808" s="54">
        <v>20.484999999999999</v>
      </c>
      <c r="G3808" s="54">
        <f t="shared" si="64"/>
        <v>4.0150600000000001</v>
      </c>
      <c r="H3808" s="73"/>
      <c r="I3808" s="74"/>
      <c r="J3808" s="155">
        <v>35</v>
      </c>
    </row>
    <row r="3809" spans="1:10" ht="15" thickBot="1" x14ac:dyDescent="0.35">
      <c r="A3809" s="227"/>
      <c r="B3809" s="224"/>
      <c r="C3809" s="55"/>
      <c r="D3809" s="55"/>
      <c r="E3809" s="66"/>
      <c r="F3809" s="76" t="s">
        <v>560</v>
      </c>
      <c r="G3809" s="76" t="str">
        <f t="shared" si="64"/>
        <v/>
      </c>
      <c r="H3809" s="77"/>
      <c r="I3809" s="74"/>
      <c r="J3809" s="155">
        <v>35</v>
      </c>
    </row>
    <row r="3810" spans="1:10" ht="15" thickBot="1" x14ac:dyDescent="0.35">
      <c r="A3810" s="226" t="s">
        <v>1216</v>
      </c>
      <c r="B3810" s="223" t="str">
        <f>INDEX(Orçamentária!A:B,MATCH(Composições!A3810,Orçamentária!A:A,0),2)</f>
        <v>Eletroduto de aço galvanizado de 3”</v>
      </c>
      <c r="C3810" s="41"/>
      <c r="D3810" s="26" t="str">
        <f>TRIM(INDEX(Orçamentária!C:C,MATCH(Composições!A3810,Orçamentária!A:A,0),1))</f>
        <v>m</v>
      </c>
      <c r="E3810" s="27"/>
      <c r="F3810" s="49" t="s">
        <v>560</v>
      </c>
      <c r="G3810" s="28" t="str">
        <f t="shared" si="64"/>
        <v/>
      </c>
      <c r="H3810" s="29"/>
      <c r="I3810" s="30"/>
      <c r="J3810" s="155">
        <v>6</v>
      </c>
    </row>
    <row r="3811" spans="1:10" x14ac:dyDescent="0.3">
      <c r="A3811" s="227"/>
      <c r="B3811" s="224"/>
      <c r="C3811" s="32"/>
      <c r="D3811" s="32"/>
      <c r="E3811" s="33"/>
      <c r="F3811" s="54" t="s">
        <v>560</v>
      </c>
      <c r="G3811" s="54" t="str">
        <f t="shared" si="64"/>
        <v/>
      </c>
      <c r="H3811" s="73"/>
      <c r="I3811" s="74"/>
      <c r="J3811" s="155">
        <v>6</v>
      </c>
    </row>
    <row r="3812" spans="1:10" x14ac:dyDescent="0.3">
      <c r="A3812" s="227"/>
      <c r="B3812" s="224"/>
      <c r="C3812" s="36" t="s">
        <v>1217</v>
      </c>
      <c r="D3812" s="36" t="s">
        <v>93</v>
      </c>
      <c r="E3812" s="37">
        <v>1.05</v>
      </c>
      <c r="F3812" s="54">
        <v>62.934000000000005</v>
      </c>
      <c r="G3812" s="54">
        <f t="shared" si="64"/>
        <v>66.080700000000007</v>
      </c>
      <c r="H3812" s="39">
        <f>SUM(G3812:G3814)</f>
        <v>102.49470000000001</v>
      </c>
      <c r="I3812" s="40"/>
      <c r="J3812" s="155">
        <v>6</v>
      </c>
    </row>
    <row r="3813" spans="1:10" x14ac:dyDescent="0.3">
      <c r="A3813" s="227"/>
      <c r="B3813" s="224"/>
      <c r="C3813" s="36" t="s">
        <v>1214</v>
      </c>
      <c r="D3813" s="36" t="s">
        <v>744</v>
      </c>
      <c r="E3813" s="37">
        <v>1</v>
      </c>
      <c r="F3813" s="54">
        <v>15.928999999999998</v>
      </c>
      <c r="G3813" s="54">
        <f t="shared" si="64"/>
        <v>15.928999999999998</v>
      </c>
      <c r="H3813" s="73"/>
      <c r="I3813" s="74"/>
      <c r="J3813" s="155">
        <v>6</v>
      </c>
    </row>
    <row r="3814" spans="1:10" x14ac:dyDescent="0.3">
      <c r="A3814" s="227"/>
      <c r="B3814" s="224"/>
      <c r="C3814" s="36" t="s">
        <v>1215</v>
      </c>
      <c r="D3814" s="36" t="s">
        <v>744</v>
      </c>
      <c r="E3814" s="37">
        <v>1</v>
      </c>
      <c r="F3814" s="54">
        <v>20.484999999999999</v>
      </c>
      <c r="G3814" s="54">
        <f t="shared" si="64"/>
        <v>20.484999999999999</v>
      </c>
      <c r="H3814" s="73"/>
      <c r="I3814" s="74"/>
      <c r="J3814" s="155">
        <v>6</v>
      </c>
    </row>
    <row r="3815" spans="1:10" ht="15" thickBot="1" x14ac:dyDescent="0.35">
      <c r="A3815" s="227"/>
      <c r="B3815" s="224"/>
      <c r="C3815" s="55"/>
      <c r="D3815" s="55"/>
      <c r="E3815" s="66"/>
      <c r="F3815" s="76" t="s">
        <v>560</v>
      </c>
      <c r="G3815" s="76" t="str">
        <f t="shared" si="64"/>
        <v/>
      </c>
      <c r="H3815" s="77"/>
      <c r="I3815" s="74"/>
      <c r="J3815" s="155">
        <v>6</v>
      </c>
    </row>
    <row r="3816" spans="1:10" ht="15" hidden="1" thickBot="1" x14ac:dyDescent="0.35">
      <c r="A3816" s="226" t="s">
        <v>1218</v>
      </c>
      <c r="B3816" s="223" t="e">
        <f>INDEX(#REF!,MATCH(Composições!A3816,#REF!,0),2)</f>
        <v>#REF!</v>
      </c>
      <c r="C3816" s="41"/>
      <c r="D3816" s="26" t="e">
        <f>TRIM(INDEX(#REF!,MATCH(Composições!A3816,#REF!,0),1))</f>
        <v>#REF!</v>
      </c>
      <c r="E3816" s="27"/>
      <c r="F3816" s="49" t="s">
        <v>560</v>
      </c>
      <c r="G3816" s="28" t="str">
        <f t="shared" si="64"/>
        <v/>
      </c>
      <c r="H3816" s="29"/>
      <c r="I3816" s="30"/>
      <c r="J3816" s="155">
        <v>0</v>
      </c>
    </row>
    <row r="3817" spans="1:10" ht="15" hidden="1" thickBot="1" x14ac:dyDescent="0.35">
      <c r="A3817" s="227"/>
      <c r="B3817" s="224"/>
      <c r="C3817" s="32"/>
      <c r="D3817" s="32"/>
      <c r="E3817" s="33"/>
      <c r="F3817" s="54" t="s">
        <v>560</v>
      </c>
      <c r="G3817" s="54" t="str">
        <f t="shared" si="64"/>
        <v/>
      </c>
      <c r="H3817" s="73"/>
      <c r="I3817" s="74"/>
      <c r="J3817" s="155">
        <v>0</v>
      </c>
    </row>
    <row r="3818" spans="1:10" ht="27" hidden="1" thickBot="1" x14ac:dyDescent="0.35">
      <c r="A3818" s="227"/>
      <c r="B3818" s="224"/>
      <c r="C3818" s="36" t="s">
        <v>1219</v>
      </c>
      <c r="D3818" s="36" t="s">
        <v>93</v>
      </c>
      <c r="E3818" s="37">
        <v>1</v>
      </c>
      <c r="F3818" s="54">
        <v>0</v>
      </c>
      <c r="G3818" s="54">
        <f t="shared" si="64"/>
        <v>0</v>
      </c>
      <c r="H3818" s="39">
        <f>SUM(G3818:G3820)</f>
        <v>23.639944999999997</v>
      </c>
      <c r="I3818" s="40"/>
      <c r="J3818" s="155">
        <v>0</v>
      </c>
    </row>
    <row r="3819" spans="1:10" ht="15" hidden="1" thickBot="1" x14ac:dyDescent="0.35">
      <c r="A3819" s="227"/>
      <c r="B3819" s="224"/>
      <c r="C3819" s="36" t="s">
        <v>752</v>
      </c>
      <c r="D3819" s="36" t="s">
        <v>744</v>
      </c>
      <c r="E3819" s="37">
        <v>0.67</v>
      </c>
      <c r="F3819" s="54">
        <v>20.314999999999998</v>
      </c>
      <c r="G3819" s="54">
        <f t="shared" si="64"/>
        <v>13.611049999999999</v>
      </c>
      <c r="H3819" s="73"/>
      <c r="I3819" s="74"/>
      <c r="J3819" s="155">
        <v>0</v>
      </c>
    </row>
    <row r="3820" spans="1:10" ht="15" hidden="1" thickBot="1" x14ac:dyDescent="0.35">
      <c r="A3820" s="227"/>
      <c r="B3820" s="224"/>
      <c r="C3820" s="36" t="s">
        <v>745</v>
      </c>
      <c r="D3820" s="36" t="s">
        <v>744</v>
      </c>
      <c r="E3820" s="37">
        <v>0.67</v>
      </c>
      <c r="F3820" s="54">
        <v>14.968499999999999</v>
      </c>
      <c r="G3820" s="54">
        <f t="shared" si="64"/>
        <v>10.028895</v>
      </c>
      <c r="H3820" s="73"/>
      <c r="I3820" s="74"/>
      <c r="J3820" s="155">
        <v>0</v>
      </c>
    </row>
    <row r="3821" spans="1:10" ht="15" hidden="1" thickBot="1" x14ac:dyDescent="0.35">
      <c r="A3821" s="227"/>
      <c r="B3821" s="224"/>
      <c r="C3821" s="55"/>
      <c r="D3821" s="55"/>
      <c r="E3821" s="66"/>
      <c r="F3821" s="76" t="s">
        <v>560</v>
      </c>
      <c r="G3821" s="76" t="str">
        <f t="shared" si="64"/>
        <v/>
      </c>
      <c r="H3821" s="77"/>
      <c r="I3821" s="74"/>
      <c r="J3821" s="155">
        <v>0</v>
      </c>
    </row>
    <row r="3822" spans="1:10" ht="15" hidden="1" thickBot="1" x14ac:dyDescent="0.35">
      <c r="A3822" s="226" t="s">
        <v>1220</v>
      </c>
      <c r="B3822" s="223" t="e">
        <f>INDEX(#REF!,MATCH(Composições!A3822,#REF!,0),2)</f>
        <v>#REF!</v>
      </c>
      <c r="C3822" s="41"/>
      <c r="D3822" s="26" t="e">
        <f>TRIM(INDEX(#REF!,MATCH(Composições!A3822,#REF!,0),1))</f>
        <v>#REF!</v>
      </c>
      <c r="E3822" s="27"/>
      <c r="F3822" s="49" t="s">
        <v>560</v>
      </c>
      <c r="G3822" s="28" t="str">
        <f t="shared" si="64"/>
        <v/>
      </c>
      <c r="H3822" s="29"/>
      <c r="I3822" s="30"/>
      <c r="J3822" s="155">
        <v>0</v>
      </c>
    </row>
    <row r="3823" spans="1:10" ht="15" hidden="1" thickBot="1" x14ac:dyDescent="0.35">
      <c r="A3823" s="227"/>
      <c r="B3823" s="224"/>
      <c r="C3823" s="32"/>
      <c r="D3823" s="32"/>
      <c r="E3823" s="33"/>
      <c r="F3823" s="54" t="s">
        <v>560</v>
      </c>
      <c r="G3823" s="54" t="str">
        <f t="shared" si="64"/>
        <v/>
      </c>
      <c r="H3823" s="73"/>
      <c r="I3823" s="74"/>
      <c r="J3823" s="155">
        <v>0</v>
      </c>
    </row>
    <row r="3824" spans="1:10" ht="27" hidden="1" thickBot="1" x14ac:dyDescent="0.35">
      <c r="A3824" s="227"/>
      <c r="B3824" s="224"/>
      <c r="C3824" s="36" t="s">
        <v>1221</v>
      </c>
      <c r="D3824" s="36" t="s">
        <v>93</v>
      </c>
      <c r="E3824" s="37">
        <f>ROUND(1/0.15,4)</f>
        <v>6.6666999999999996</v>
      </c>
      <c r="F3824" s="54" t="s">
        <v>560</v>
      </c>
      <c r="G3824" s="54" t="str">
        <f t="shared" si="64"/>
        <v/>
      </c>
      <c r="H3824" s="39">
        <f>SUM(G3824:G3827)</f>
        <v>99.04539745000001</v>
      </c>
      <c r="I3824" s="40"/>
      <c r="J3824" s="155">
        <v>0</v>
      </c>
    </row>
    <row r="3825" spans="1:10" ht="15" hidden="1" thickBot="1" x14ac:dyDescent="0.35">
      <c r="A3825" s="227"/>
      <c r="B3825" s="224"/>
      <c r="C3825" s="36" t="s">
        <v>1933</v>
      </c>
      <c r="D3825" s="36" t="s">
        <v>42</v>
      </c>
      <c r="E3825" s="37">
        <f>1.29/0.15</f>
        <v>8.6000000000000014</v>
      </c>
      <c r="F3825" s="54">
        <v>1.1729999999999998</v>
      </c>
      <c r="G3825" s="54">
        <f t="shared" si="64"/>
        <v>10.0878</v>
      </c>
      <c r="H3825" s="73"/>
      <c r="I3825" s="74"/>
      <c r="J3825" s="155">
        <v>0</v>
      </c>
    </row>
    <row r="3826" spans="1:10" ht="15" hidden="1" thickBot="1" x14ac:dyDescent="0.35">
      <c r="A3826" s="227"/>
      <c r="B3826" s="224"/>
      <c r="C3826" s="36" t="s">
        <v>54</v>
      </c>
      <c r="D3826" s="36" t="s">
        <v>12</v>
      </c>
      <c r="E3826" s="37">
        <f>ROUND(0.547/0.15,4)</f>
        <v>3.6467000000000001</v>
      </c>
      <c r="F3826" s="54">
        <v>16.923500000000001</v>
      </c>
      <c r="G3826" s="54">
        <f t="shared" si="64"/>
        <v>61.714927450000005</v>
      </c>
      <c r="H3826" s="73"/>
      <c r="I3826" s="74"/>
      <c r="J3826" s="155">
        <v>0</v>
      </c>
    </row>
    <row r="3827" spans="1:10" ht="15" hidden="1" thickBot="1" x14ac:dyDescent="0.35">
      <c r="A3827" s="227"/>
      <c r="B3827" s="224"/>
      <c r="C3827" s="36" t="s">
        <v>23</v>
      </c>
      <c r="D3827" s="36" t="s">
        <v>12</v>
      </c>
      <c r="E3827" s="37">
        <f>0.273/0.15</f>
        <v>1.8200000000000003</v>
      </c>
      <c r="F3827" s="54">
        <v>14.968499999999999</v>
      </c>
      <c r="G3827" s="54">
        <f t="shared" si="64"/>
        <v>27.24267</v>
      </c>
      <c r="H3827" s="73"/>
      <c r="I3827" s="74"/>
      <c r="J3827" s="155">
        <v>0</v>
      </c>
    </row>
    <row r="3828" spans="1:10" ht="15" hidden="1" thickBot="1" x14ac:dyDescent="0.35">
      <c r="A3828" s="227"/>
      <c r="B3828" s="224"/>
      <c r="C3828" s="36"/>
      <c r="D3828" s="36"/>
      <c r="E3828" s="37"/>
      <c r="F3828" s="54" t="s">
        <v>560</v>
      </c>
      <c r="G3828" s="54" t="str">
        <f t="shared" si="64"/>
        <v/>
      </c>
      <c r="H3828" s="73"/>
      <c r="I3828" s="74"/>
      <c r="J3828" s="155">
        <v>0</v>
      </c>
    </row>
    <row r="3829" spans="1:10" ht="15" hidden="1" thickBot="1" x14ac:dyDescent="0.35">
      <c r="A3829" s="226" t="s">
        <v>1222</v>
      </c>
      <c r="B3829" s="223" t="e">
        <f>INDEX(#REF!,MATCH(Composições!A3829,#REF!,0),2)</f>
        <v>#REF!</v>
      </c>
      <c r="C3829" s="41"/>
      <c r="D3829" s="26" t="e">
        <f>TRIM(INDEX(#REF!,MATCH(Composições!A3829,#REF!,0),1))</f>
        <v>#REF!</v>
      </c>
      <c r="E3829" s="27"/>
      <c r="F3829" s="49" t="s">
        <v>560</v>
      </c>
      <c r="G3829" s="28" t="str">
        <f t="shared" si="64"/>
        <v/>
      </c>
      <c r="H3829" s="29"/>
      <c r="I3829" s="30"/>
      <c r="J3829" s="155">
        <v>0</v>
      </c>
    </row>
    <row r="3830" spans="1:10" ht="15" hidden="1" thickBot="1" x14ac:dyDescent="0.35">
      <c r="A3830" s="227"/>
      <c r="B3830" s="224"/>
      <c r="C3830" s="32"/>
      <c r="D3830" s="32"/>
      <c r="E3830" s="33"/>
      <c r="F3830" s="54" t="s">
        <v>560</v>
      </c>
      <c r="G3830" s="54" t="str">
        <f t="shared" si="64"/>
        <v/>
      </c>
      <c r="H3830" s="73"/>
      <c r="I3830" s="74"/>
      <c r="J3830" s="155">
        <v>0</v>
      </c>
    </row>
    <row r="3831" spans="1:10" ht="40.200000000000003" hidden="1" thickBot="1" x14ac:dyDescent="0.35">
      <c r="A3831" s="227"/>
      <c r="B3831" s="224"/>
      <c r="C3831" s="36" t="s">
        <v>1223</v>
      </c>
      <c r="D3831" s="36" t="s">
        <v>147</v>
      </c>
      <c r="E3831" s="37">
        <v>1</v>
      </c>
      <c r="F3831" s="54" t="s">
        <v>560</v>
      </c>
      <c r="G3831" s="54" t="str">
        <f t="shared" si="64"/>
        <v/>
      </c>
      <c r="H3831" s="39">
        <f>SUM(G3831:G3836)</f>
        <v>9.6317155000000003</v>
      </c>
      <c r="I3831" s="40"/>
      <c r="J3831" s="155">
        <v>0</v>
      </c>
    </row>
    <row r="3832" spans="1:10" ht="27" hidden="1" thickBot="1" x14ac:dyDescent="0.35">
      <c r="A3832" s="227"/>
      <c r="B3832" s="224"/>
      <c r="C3832" s="36" t="s">
        <v>577</v>
      </c>
      <c r="D3832" s="36" t="s">
        <v>93</v>
      </c>
      <c r="E3832" s="37">
        <v>1.5</v>
      </c>
      <c r="F3832" s="54" t="s">
        <v>560</v>
      </c>
      <c r="G3832" s="54" t="str">
        <f t="shared" si="64"/>
        <v/>
      </c>
      <c r="H3832" s="73"/>
      <c r="I3832" s="74"/>
      <c r="J3832" s="155">
        <v>0</v>
      </c>
    </row>
    <row r="3833" spans="1:10" ht="15" hidden="1" thickBot="1" x14ac:dyDescent="0.35">
      <c r="A3833" s="227"/>
      <c r="B3833" s="224"/>
      <c r="C3833" s="36" t="s">
        <v>578</v>
      </c>
      <c r="D3833" s="36" t="s">
        <v>147</v>
      </c>
      <c r="E3833" s="37">
        <v>1</v>
      </c>
      <c r="F3833" s="54" t="s">
        <v>560</v>
      </c>
      <c r="G3833" s="54" t="str">
        <f t="shared" si="64"/>
        <v/>
      </c>
      <c r="H3833" s="73"/>
      <c r="I3833" s="74"/>
      <c r="J3833" s="155">
        <v>0</v>
      </c>
    </row>
    <row r="3834" spans="1:10" ht="15" hidden="1" thickBot="1" x14ac:dyDescent="0.35">
      <c r="A3834" s="227"/>
      <c r="B3834" s="224"/>
      <c r="C3834" s="36" t="s">
        <v>579</v>
      </c>
      <c r="D3834" s="36" t="s">
        <v>147</v>
      </c>
      <c r="E3834" s="37">
        <v>1</v>
      </c>
      <c r="F3834" s="54" t="s">
        <v>560</v>
      </c>
      <c r="G3834" s="54" t="str">
        <f t="shared" si="64"/>
        <v/>
      </c>
      <c r="H3834" s="73"/>
      <c r="I3834" s="74"/>
      <c r="J3834" s="155">
        <v>0</v>
      </c>
    </row>
    <row r="3835" spans="1:10" ht="15" hidden="1" thickBot="1" x14ac:dyDescent="0.35">
      <c r="A3835" s="227"/>
      <c r="B3835" s="224"/>
      <c r="C3835" s="36" t="s">
        <v>74</v>
      </c>
      <c r="D3835" s="36" t="s">
        <v>12</v>
      </c>
      <c r="E3835" s="37">
        <v>0.14799999999999999</v>
      </c>
      <c r="F3835" s="54">
        <v>15.928999999999998</v>
      </c>
      <c r="G3835" s="54">
        <f t="shared" si="64"/>
        <v>2.3574919999999997</v>
      </c>
      <c r="H3835" s="73"/>
      <c r="I3835" s="74"/>
      <c r="J3835" s="155">
        <v>0</v>
      </c>
    </row>
    <row r="3836" spans="1:10" ht="15" hidden="1" thickBot="1" x14ac:dyDescent="0.35">
      <c r="A3836" s="227"/>
      <c r="B3836" s="224"/>
      <c r="C3836" s="36" t="s">
        <v>30</v>
      </c>
      <c r="D3836" s="36" t="s">
        <v>12</v>
      </c>
      <c r="E3836" s="37">
        <v>0.35510000000000003</v>
      </c>
      <c r="F3836" s="54">
        <v>20.484999999999999</v>
      </c>
      <c r="G3836" s="54">
        <f t="shared" si="64"/>
        <v>7.2742235000000006</v>
      </c>
      <c r="H3836" s="73"/>
      <c r="I3836" s="74"/>
      <c r="J3836" s="155">
        <v>0</v>
      </c>
    </row>
    <row r="3837" spans="1:10" ht="15" hidden="1" thickBot="1" x14ac:dyDescent="0.35">
      <c r="A3837" s="227"/>
      <c r="B3837" s="224"/>
      <c r="C3837" s="36"/>
      <c r="D3837" s="47"/>
      <c r="E3837" s="37"/>
      <c r="F3837" s="54" t="s">
        <v>560</v>
      </c>
      <c r="G3837" s="54" t="str">
        <f t="shared" si="64"/>
        <v/>
      </c>
      <c r="H3837" s="73"/>
      <c r="I3837" s="74"/>
      <c r="J3837" s="155">
        <v>0</v>
      </c>
    </row>
    <row r="3838" spans="1:10" ht="15" thickBot="1" x14ac:dyDescent="0.35">
      <c r="A3838" s="226" t="s">
        <v>1224</v>
      </c>
      <c r="B3838" s="223" t="str">
        <f>INDEX(Orçamentária!A:B,MATCH(Composições!A3838,Orçamentária!A:A,0),2)</f>
        <v>Piso tátil de borracha</v>
      </c>
      <c r="C3838" s="41"/>
      <c r="D3838" s="26" t="str">
        <f>TRIM(INDEX(Orçamentária!C:C,MATCH(Composições!A3838,Orçamentária!A:A,0),1))</f>
        <v>m2</v>
      </c>
      <c r="E3838" s="27"/>
      <c r="F3838" s="49" t="s">
        <v>560</v>
      </c>
      <c r="G3838" s="28" t="str">
        <f t="shared" si="64"/>
        <v/>
      </c>
      <c r="H3838" s="29"/>
      <c r="I3838" s="30"/>
      <c r="J3838" s="155">
        <v>45</v>
      </c>
    </row>
    <row r="3839" spans="1:10" x14ac:dyDescent="0.3">
      <c r="A3839" s="227"/>
      <c r="B3839" s="224"/>
      <c r="C3839" s="32"/>
      <c r="D3839" s="32"/>
      <c r="E3839" s="33"/>
      <c r="F3839" s="54" t="s">
        <v>560</v>
      </c>
      <c r="G3839" s="54" t="str">
        <f t="shared" si="64"/>
        <v/>
      </c>
      <c r="H3839" s="73"/>
      <c r="I3839" s="74"/>
      <c r="J3839" s="155">
        <v>45</v>
      </c>
    </row>
    <row r="3840" spans="1:10" x14ac:dyDescent="0.3">
      <c r="A3840" s="227"/>
      <c r="B3840" s="224"/>
      <c r="C3840" s="36" t="s">
        <v>298</v>
      </c>
      <c r="D3840" s="36" t="s">
        <v>939</v>
      </c>
      <c r="E3840" s="37">
        <v>9.5000000000000001E-2</v>
      </c>
      <c r="F3840" s="54">
        <v>22.797000000000001</v>
      </c>
      <c r="G3840" s="54">
        <f t="shared" si="64"/>
        <v>2.1657150000000001</v>
      </c>
      <c r="H3840" s="39">
        <f>SUM(G3840:G3843)</f>
        <v>22.984616249999998</v>
      </c>
      <c r="I3840" s="40"/>
      <c r="J3840" s="155">
        <v>45</v>
      </c>
    </row>
    <row r="3841" spans="1:10" ht="26.4" x14ac:dyDescent="0.3">
      <c r="A3841" s="227"/>
      <c r="B3841" s="224"/>
      <c r="C3841" s="36" t="s">
        <v>1225</v>
      </c>
      <c r="D3841" s="36" t="s">
        <v>1035</v>
      </c>
      <c r="E3841" s="37">
        <f>1*0.25*0.25</f>
        <v>6.25E-2</v>
      </c>
      <c r="F3841" s="54">
        <v>217.13249999999999</v>
      </c>
      <c r="G3841" s="54">
        <f t="shared" ref="G3841:G3904" si="65">IF(ISNUMBER(F3841),E3841*F3841,"")</f>
        <v>13.57078125</v>
      </c>
      <c r="H3841" s="73"/>
      <c r="I3841" s="74"/>
      <c r="J3841" s="155">
        <v>45</v>
      </c>
    </row>
    <row r="3842" spans="1:10" x14ac:dyDescent="0.3">
      <c r="A3842" s="227"/>
      <c r="B3842" s="224"/>
      <c r="C3842" s="36" t="s">
        <v>752</v>
      </c>
      <c r="D3842" s="36" t="s">
        <v>744</v>
      </c>
      <c r="E3842" s="37">
        <v>0.26100000000000001</v>
      </c>
      <c r="F3842" s="54">
        <v>20.314999999999998</v>
      </c>
      <c r="G3842" s="54">
        <f t="shared" si="65"/>
        <v>5.3022149999999995</v>
      </c>
      <c r="H3842" s="73"/>
      <c r="I3842" s="74"/>
      <c r="J3842" s="155">
        <v>45</v>
      </c>
    </row>
    <row r="3843" spans="1:10" x14ac:dyDescent="0.3">
      <c r="A3843" s="227"/>
      <c r="B3843" s="224"/>
      <c r="C3843" s="36" t="s">
        <v>745</v>
      </c>
      <c r="D3843" s="36" t="s">
        <v>744</v>
      </c>
      <c r="E3843" s="37">
        <v>0.13</v>
      </c>
      <c r="F3843" s="54">
        <v>14.968499999999999</v>
      </c>
      <c r="G3843" s="54">
        <f t="shared" si="65"/>
        <v>1.945905</v>
      </c>
      <c r="H3843" s="73"/>
      <c r="I3843" s="74"/>
      <c r="J3843" s="155">
        <v>45</v>
      </c>
    </row>
    <row r="3844" spans="1:10" ht="15" thickBot="1" x14ac:dyDescent="0.35">
      <c r="A3844" s="227"/>
      <c r="B3844" s="224"/>
      <c r="C3844" s="55"/>
      <c r="D3844" s="55"/>
      <c r="E3844" s="66"/>
      <c r="F3844" s="76" t="s">
        <v>560</v>
      </c>
      <c r="G3844" s="76" t="str">
        <f t="shared" si="65"/>
        <v/>
      </c>
      <c r="H3844" s="77"/>
      <c r="I3844" s="74"/>
      <c r="J3844" s="155">
        <v>45</v>
      </c>
    </row>
    <row r="3845" spans="1:10" ht="15" hidden="1" thickBot="1" x14ac:dyDescent="0.35">
      <c r="A3845" s="226" t="s">
        <v>1226</v>
      </c>
      <c r="B3845" s="223" t="e">
        <f>INDEX(#REF!,MATCH(Composições!A3845,#REF!,0),2)</f>
        <v>#REF!</v>
      </c>
      <c r="C3845" s="41"/>
      <c r="D3845" s="26" t="e">
        <f>TRIM(INDEX(#REF!,MATCH(Composições!A3845,#REF!,0),1))</f>
        <v>#REF!</v>
      </c>
      <c r="E3845" s="27"/>
      <c r="F3845" s="49" t="s">
        <v>560</v>
      </c>
      <c r="G3845" s="28" t="str">
        <f t="shared" si="65"/>
        <v/>
      </c>
      <c r="H3845" s="29"/>
      <c r="I3845" s="30"/>
      <c r="J3845" s="155">
        <v>0</v>
      </c>
    </row>
    <row r="3846" spans="1:10" ht="15" hidden="1" thickBot="1" x14ac:dyDescent="0.35">
      <c r="A3846" s="227"/>
      <c r="B3846" s="224"/>
      <c r="C3846" s="32"/>
      <c r="D3846" s="32"/>
      <c r="E3846" s="33"/>
      <c r="F3846" s="54" t="s">
        <v>560</v>
      </c>
      <c r="G3846" s="54" t="str">
        <f t="shared" si="65"/>
        <v/>
      </c>
      <c r="H3846" s="73"/>
      <c r="I3846" s="74"/>
      <c r="J3846" s="155">
        <v>0</v>
      </c>
    </row>
    <row r="3847" spans="1:10" ht="27" hidden="1" thickBot="1" x14ac:dyDescent="0.35">
      <c r="A3847" s="227"/>
      <c r="B3847" s="224"/>
      <c r="C3847" s="36" t="s">
        <v>817</v>
      </c>
      <c r="D3847" s="36" t="s">
        <v>939</v>
      </c>
      <c r="E3847" s="37">
        <v>0.53</v>
      </c>
      <c r="F3847" s="54">
        <v>36.150500000000001</v>
      </c>
      <c r="G3847" s="54">
        <f t="shared" si="65"/>
        <v>19.159765</v>
      </c>
      <c r="H3847" s="39">
        <f>SUM(G3847:G3853)</f>
        <v>77.272938999999994</v>
      </c>
      <c r="I3847" s="40"/>
      <c r="J3847" s="155">
        <v>0</v>
      </c>
    </row>
    <row r="3848" spans="1:10" ht="40.200000000000003" hidden="1" thickBot="1" x14ac:dyDescent="0.35">
      <c r="A3848" s="227"/>
      <c r="B3848" s="224"/>
      <c r="C3848" s="36" t="s">
        <v>2381</v>
      </c>
      <c r="D3848" s="36" t="s">
        <v>1035</v>
      </c>
      <c r="E3848" s="37">
        <v>1.05</v>
      </c>
      <c r="F3848" s="54" t="s">
        <v>560</v>
      </c>
      <c r="G3848" s="54" t="str">
        <f t="shared" si="65"/>
        <v/>
      </c>
      <c r="H3848" s="73"/>
      <c r="I3848" s="74"/>
      <c r="J3848" s="155">
        <v>0</v>
      </c>
    </row>
    <row r="3849" spans="1:10" ht="15" hidden="1" thickBot="1" x14ac:dyDescent="0.35">
      <c r="A3849" s="227"/>
      <c r="B3849" s="224"/>
      <c r="C3849" s="36" t="s">
        <v>1913</v>
      </c>
      <c r="D3849" s="36" t="s">
        <v>939</v>
      </c>
      <c r="E3849" s="37">
        <v>0.97</v>
      </c>
      <c r="F3849" s="54">
        <v>1.343</v>
      </c>
      <c r="G3849" s="54">
        <f t="shared" si="65"/>
        <v>1.30271</v>
      </c>
      <c r="H3849" s="73"/>
      <c r="I3849" s="74"/>
      <c r="J3849" s="155">
        <v>0</v>
      </c>
    </row>
    <row r="3850" spans="1:10" ht="15" hidden="1" thickBot="1" x14ac:dyDescent="0.35">
      <c r="A3850" s="227"/>
      <c r="B3850" s="224"/>
      <c r="C3850" s="36" t="s">
        <v>1696</v>
      </c>
      <c r="D3850" s="36" t="s">
        <v>744</v>
      </c>
      <c r="E3850" s="37">
        <v>1.405</v>
      </c>
      <c r="F3850" s="54">
        <v>16.923500000000001</v>
      </c>
      <c r="G3850" s="54">
        <f t="shared" si="65"/>
        <v>23.777517500000002</v>
      </c>
      <c r="H3850" s="73"/>
      <c r="I3850" s="74"/>
      <c r="J3850" s="155">
        <v>0</v>
      </c>
    </row>
    <row r="3851" spans="1:10" ht="15" hidden="1" thickBot="1" x14ac:dyDescent="0.35">
      <c r="A3851" s="227"/>
      <c r="B3851" s="224"/>
      <c r="C3851" s="36" t="s">
        <v>745</v>
      </c>
      <c r="D3851" s="36" t="s">
        <v>744</v>
      </c>
      <c r="E3851" s="37">
        <v>0.70199999999999996</v>
      </c>
      <c r="F3851" s="54">
        <v>14.968499999999999</v>
      </c>
      <c r="G3851" s="54">
        <f t="shared" si="65"/>
        <v>10.507886999999998</v>
      </c>
      <c r="H3851" s="73"/>
      <c r="I3851" s="74"/>
      <c r="J3851" s="155">
        <v>0</v>
      </c>
    </row>
    <row r="3852" spans="1:10" ht="27" hidden="1" thickBot="1" x14ac:dyDescent="0.35">
      <c r="A3852" s="227"/>
      <c r="B3852" s="224"/>
      <c r="C3852" s="36" t="s">
        <v>1208</v>
      </c>
      <c r="D3852" s="36" t="s">
        <v>983</v>
      </c>
      <c r="E3852" s="37">
        <v>8.8999999999999996E-2</v>
      </c>
      <c r="F3852" s="54">
        <v>17.807499999999997</v>
      </c>
      <c r="G3852" s="54">
        <f t="shared" si="65"/>
        <v>1.5848674999999997</v>
      </c>
      <c r="H3852" s="73"/>
      <c r="I3852" s="74"/>
      <c r="J3852" s="155">
        <v>0</v>
      </c>
    </row>
    <row r="3853" spans="1:10" ht="27" hidden="1" thickBot="1" x14ac:dyDescent="0.35">
      <c r="A3853" s="227"/>
      <c r="B3853" s="224"/>
      <c r="C3853" s="36" t="s">
        <v>1209</v>
      </c>
      <c r="D3853" s="36" t="s">
        <v>985</v>
      </c>
      <c r="E3853" s="37">
        <v>1.3160000000000001</v>
      </c>
      <c r="F3853" s="54">
        <v>15.911999999999999</v>
      </c>
      <c r="G3853" s="54">
        <f t="shared" si="65"/>
        <v>20.940192</v>
      </c>
      <c r="H3853" s="73"/>
      <c r="I3853" s="74"/>
      <c r="J3853" s="155">
        <v>0</v>
      </c>
    </row>
    <row r="3854" spans="1:10" ht="15" hidden="1" thickBot="1" x14ac:dyDescent="0.35">
      <c r="A3854" s="227"/>
      <c r="B3854" s="224"/>
      <c r="C3854" s="36"/>
      <c r="D3854" s="36"/>
      <c r="E3854" s="37"/>
      <c r="F3854" s="54" t="s">
        <v>560</v>
      </c>
      <c r="G3854" s="54" t="str">
        <f t="shared" si="65"/>
        <v/>
      </c>
      <c r="H3854" s="73"/>
      <c r="I3854" s="74"/>
      <c r="J3854" s="155">
        <v>0</v>
      </c>
    </row>
    <row r="3855" spans="1:10" ht="15" hidden="1" thickBot="1" x14ac:dyDescent="0.35">
      <c r="A3855" s="226" t="s">
        <v>1227</v>
      </c>
      <c r="B3855" s="223" t="e">
        <f>INDEX(#REF!,MATCH(Composições!A3855,#REF!,0),2)</f>
        <v>#REF!</v>
      </c>
      <c r="C3855" s="41"/>
      <c r="D3855" s="26" t="e">
        <f>TRIM(INDEX(#REF!,MATCH(Composições!A3855,#REF!,0),1))</f>
        <v>#REF!</v>
      </c>
      <c r="E3855" s="27"/>
      <c r="F3855" s="49" t="s">
        <v>560</v>
      </c>
      <c r="G3855" s="28" t="str">
        <f t="shared" si="65"/>
        <v/>
      </c>
      <c r="H3855" s="29"/>
      <c r="I3855" s="30"/>
      <c r="J3855" s="155">
        <v>0</v>
      </c>
    </row>
    <row r="3856" spans="1:10" ht="15" hidden="1" thickBot="1" x14ac:dyDescent="0.35">
      <c r="A3856" s="227"/>
      <c r="B3856" s="224"/>
      <c r="C3856" s="32"/>
      <c r="D3856" s="32"/>
      <c r="E3856" s="33"/>
      <c r="F3856" s="54" t="s">
        <v>560</v>
      </c>
      <c r="G3856" s="54" t="str">
        <f t="shared" si="65"/>
        <v/>
      </c>
      <c r="H3856" s="73"/>
      <c r="I3856" s="74"/>
      <c r="J3856" s="155">
        <v>0</v>
      </c>
    </row>
    <row r="3857" spans="1:10" ht="27" hidden="1" thickBot="1" x14ac:dyDescent="0.35">
      <c r="A3857" s="227"/>
      <c r="B3857" s="224"/>
      <c r="C3857" s="36" t="s">
        <v>1228</v>
      </c>
      <c r="D3857" s="47" t="s">
        <v>292</v>
      </c>
      <c r="E3857" s="37">
        <v>1</v>
      </c>
      <c r="F3857" s="54">
        <v>88.552999999999997</v>
      </c>
      <c r="G3857" s="54">
        <f t="shared" si="65"/>
        <v>88.552999999999997</v>
      </c>
      <c r="H3857" s="39">
        <f>SUM(G3857:G3860)</f>
        <v>122.69902094553818</v>
      </c>
      <c r="I3857" s="40"/>
      <c r="J3857" s="155">
        <v>0</v>
      </c>
    </row>
    <row r="3858" spans="1:10" ht="27" hidden="1" thickBot="1" x14ac:dyDescent="0.35">
      <c r="A3858" s="227"/>
      <c r="B3858" s="224"/>
      <c r="C3858" s="36" t="s">
        <v>1690</v>
      </c>
      <c r="D3858" s="47" t="s">
        <v>122</v>
      </c>
      <c r="E3858" s="37">
        <v>4.4000000000000003E-3</v>
      </c>
      <c r="F3858" s="54">
        <v>405.61079444050006</v>
      </c>
      <c r="G3858" s="54">
        <f t="shared" si="65"/>
        <v>1.7846874955382004</v>
      </c>
      <c r="H3858" s="73"/>
      <c r="I3858" s="74"/>
      <c r="J3858" s="155">
        <v>0</v>
      </c>
    </row>
    <row r="3859" spans="1:10" ht="15" hidden="1" thickBot="1" x14ac:dyDescent="0.35">
      <c r="A3859" s="227"/>
      <c r="B3859" s="224"/>
      <c r="C3859" s="36" t="s">
        <v>22</v>
      </c>
      <c r="D3859" s="36" t="s">
        <v>12</v>
      </c>
      <c r="E3859" s="37">
        <v>1.0088999999999999</v>
      </c>
      <c r="F3859" s="54">
        <v>20.314999999999998</v>
      </c>
      <c r="G3859" s="54">
        <f t="shared" si="65"/>
        <v>20.495803499999997</v>
      </c>
      <c r="H3859" s="73"/>
      <c r="I3859" s="74"/>
      <c r="J3859" s="155">
        <v>0</v>
      </c>
    </row>
    <row r="3860" spans="1:10" ht="15" hidden="1" thickBot="1" x14ac:dyDescent="0.35">
      <c r="A3860" s="227"/>
      <c r="B3860" s="224"/>
      <c r="C3860" s="36" t="s">
        <v>23</v>
      </c>
      <c r="D3860" s="36" t="s">
        <v>12</v>
      </c>
      <c r="E3860" s="37">
        <v>0.79269999999999996</v>
      </c>
      <c r="F3860" s="54">
        <v>14.968499999999999</v>
      </c>
      <c r="G3860" s="54">
        <f t="shared" si="65"/>
        <v>11.865529949999999</v>
      </c>
      <c r="H3860" s="73"/>
      <c r="I3860" s="74"/>
      <c r="J3860" s="155">
        <v>0</v>
      </c>
    </row>
    <row r="3861" spans="1:10" ht="15" hidden="1" thickBot="1" x14ac:dyDescent="0.35">
      <c r="A3861" s="227"/>
      <c r="B3861" s="224"/>
      <c r="C3861" s="55"/>
      <c r="D3861" s="55"/>
      <c r="E3861" s="66"/>
      <c r="F3861" s="76" t="s">
        <v>560</v>
      </c>
      <c r="G3861" s="76" t="str">
        <f t="shared" si="65"/>
        <v/>
      </c>
      <c r="H3861" s="77"/>
      <c r="I3861" s="74"/>
      <c r="J3861" s="155">
        <v>0</v>
      </c>
    </row>
    <row r="3862" spans="1:10" ht="15" hidden="1" thickBot="1" x14ac:dyDescent="0.35">
      <c r="A3862" s="226" t="s">
        <v>1229</v>
      </c>
      <c r="B3862" s="223" t="e">
        <f>INDEX(#REF!,MATCH(Composições!A3862,#REF!,0),2)</f>
        <v>#REF!</v>
      </c>
      <c r="C3862" s="41"/>
      <c r="D3862" s="26" t="e">
        <f>TRIM(INDEX(#REF!,MATCH(Composições!A3862,#REF!,0),1))</f>
        <v>#REF!</v>
      </c>
      <c r="E3862" s="27"/>
      <c r="F3862" s="49" t="s">
        <v>560</v>
      </c>
      <c r="G3862" s="28" t="str">
        <f t="shared" si="65"/>
        <v/>
      </c>
      <c r="H3862" s="29"/>
      <c r="I3862" s="30"/>
      <c r="J3862" s="155">
        <v>0</v>
      </c>
    </row>
    <row r="3863" spans="1:10" ht="15" hidden="1" thickBot="1" x14ac:dyDescent="0.35">
      <c r="A3863" s="227"/>
      <c r="B3863" s="224"/>
      <c r="C3863" s="32"/>
      <c r="D3863" s="32"/>
      <c r="E3863" s="33"/>
      <c r="F3863" s="54" t="s">
        <v>560</v>
      </c>
      <c r="G3863" s="54" t="str">
        <f t="shared" si="65"/>
        <v/>
      </c>
      <c r="H3863" s="73"/>
      <c r="I3863" s="74"/>
      <c r="J3863" s="155">
        <v>0</v>
      </c>
    </row>
    <row r="3864" spans="1:10" ht="27" hidden="1" thickBot="1" x14ac:dyDescent="0.35">
      <c r="A3864" s="227"/>
      <c r="B3864" s="224"/>
      <c r="C3864" s="36" t="s">
        <v>1230</v>
      </c>
      <c r="D3864" s="36" t="s">
        <v>95</v>
      </c>
      <c r="E3864" s="37">
        <v>1.08</v>
      </c>
      <c r="F3864" s="54" t="s">
        <v>560</v>
      </c>
      <c r="G3864" s="54" t="str">
        <f t="shared" si="65"/>
        <v/>
      </c>
      <c r="H3864" s="39">
        <f>SUM(G3864:G3868)</f>
        <v>23.577129999999997</v>
      </c>
      <c r="I3864" s="40"/>
      <c r="J3864" s="155">
        <v>0</v>
      </c>
    </row>
    <row r="3865" spans="1:10" ht="15" hidden="1" thickBot="1" x14ac:dyDescent="0.35">
      <c r="A3865" s="227"/>
      <c r="B3865" s="224"/>
      <c r="C3865" s="36" t="s">
        <v>1934</v>
      </c>
      <c r="D3865" s="36" t="s">
        <v>42</v>
      </c>
      <c r="E3865" s="37">
        <v>6.14</v>
      </c>
      <c r="F3865" s="54">
        <v>0.7054999999999999</v>
      </c>
      <c r="G3865" s="54">
        <f t="shared" si="65"/>
        <v>4.3317699999999988</v>
      </c>
      <c r="H3865" s="73"/>
      <c r="I3865" s="74"/>
      <c r="J3865" s="155">
        <v>0</v>
      </c>
    </row>
    <row r="3866" spans="1:10" ht="15" hidden="1" thickBot="1" x14ac:dyDescent="0.35">
      <c r="A3866" s="227"/>
      <c r="B3866" s="224"/>
      <c r="C3866" s="36" t="s">
        <v>1932</v>
      </c>
      <c r="D3866" s="36" t="s">
        <v>42</v>
      </c>
      <c r="E3866" s="37">
        <v>0.22</v>
      </c>
      <c r="F3866" s="54">
        <v>2.2440000000000002</v>
      </c>
      <c r="G3866" s="54">
        <f t="shared" si="65"/>
        <v>0.49368000000000006</v>
      </c>
      <c r="H3866" s="73"/>
      <c r="I3866" s="74"/>
      <c r="J3866" s="155">
        <v>0</v>
      </c>
    </row>
    <row r="3867" spans="1:10" ht="15" hidden="1" thickBot="1" x14ac:dyDescent="0.35">
      <c r="A3867" s="227"/>
      <c r="B3867" s="224"/>
      <c r="C3867" s="36" t="s">
        <v>36</v>
      </c>
      <c r="D3867" s="36" t="s">
        <v>12</v>
      </c>
      <c r="E3867" s="37">
        <v>0.66</v>
      </c>
      <c r="F3867" s="54">
        <v>20.247</v>
      </c>
      <c r="G3867" s="54">
        <f t="shared" si="65"/>
        <v>13.363020000000001</v>
      </c>
      <c r="H3867" s="73"/>
      <c r="I3867" s="74"/>
      <c r="J3867" s="155">
        <v>0</v>
      </c>
    </row>
    <row r="3868" spans="1:10" ht="15" hidden="1" thickBot="1" x14ac:dyDescent="0.35">
      <c r="A3868" s="227"/>
      <c r="B3868" s="224"/>
      <c r="C3868" s="36" t="s">
        <v>23</v>
      </c>
      <c r="D3868" s="36" t="s">
        <v>12</v>
      </c>
      <c r="E3868" s="37">
        <v>0.36</v>
      </c>
      <c r="F3868" s="54">
        <v>14.968499999999999</v>
      </c>
      <c r="G3868" s="54">
        <f t="shared" si="65"/>
        <v>5.3886599999999998</v>
      </c>
      <c r="H3868" s="73"/>
      <c r="I3868" s="74"/>
      <c r="J3868" s="155">
        <v>0</v>
      </c>
    </row>
    <row r="3869" spans="1:10" ht="15" hidden="1" thickBot="1" x14ac:dyDescent="0.35">
      <c r="A3869" s="227"/>
      <c r="B3869" s="224"/>
      <c r="C3869" s="36"/>
      <c r="D3869" s="47"/>
      <c r="E3869" s="37"/>
      <c r="F3869" s="54" t="s">
        <v>560</v>
      </c>
      <c r="G3869" s="54" t="str">
        <f t="shared" si="65"/>
        <v/>
      </c>
      <c r="H3869" s="73"/>
      <c r="I3869" s="74"/>
      <c r="J3869" s="155">
        <v>0</v>
      </c>
    </row>
    <row r="3870" spans="1:10" ht="15" thickBot="1" x14ac:dyDescent="0.35">
      <c r="A3870" s="226" t="s">
        <v>1231</v>
      </c>
      <c r="B3870" s="223" t="str">
        <f>INDEX(Orçamentária!A:B,MATCH(Composições!A3870,Orçamentária!A:A,0),2)</f>
        <v>Aterro de vala com areia média e compactação mecanizada</v>
      </c>
      <c r="C3870" s="41"/>
      <c r="D3870" s="26" t="str">
        <f>TRIM(INDEX(Orçamentária!C:C,MATCH(Composições!A3870,Orçamentária!A:A,0),1))</f>
        <v>m3</v>
      </c>
      <c r="E3870" s="27"/>
      <c r="F3870" s="49" t="s">
        <v>560</v>
      </c>
      <c r="G3870" s="28" t="str">
        <f t="shared" si="65"/>
        <v/>
      </c>
      <c r="H3870" s="29"/>
      <c r="I3870" s="30"/>
      <c r="J3870" s="155">
        <v>30</v>
      </c>
    </row>
    <row r="3871" spans="1:10" x14ac:dyDescent="0.3">
      <c r="A3871" s="227"/>
      <c r="B3871" s="224"/>
      <c r="C3871" s="32"/>
      <c r="D3871" s="32"/>
      <c r="E3871" s="33"/>
      <c r="F3871" s="54" t="s">
        <v>560</v>
      </c>
      <c r="G3871" s="54" t="str">
        <f t="shared" si="65"/>
        <v/>
      </c>
      <c r="H3871" s="73"/>
      <c r="I3871" s="74"/>
      <c r="J3871" s="155">
        <v>30</v>
      </c>
    </row>
    <row r="3872" spans="1:10" ht="26.4" x14ac:dyDescent="0.3">
      <c r="A3872" s="227"/>
      <c r="B3872" s="224"/>
      <c r="C3872" s="36" t="s">
        <v>1232</v>
      </c>
      <c r="D3872" s="47" t="s">
        <v>122</v>
      </c>
      <c r="E3872" s="37">
        <v>1.25</v>
      </c>
      <c r="F3872" s="54">
        <v>89.504999999999995</v>
      </c>
      <c r="G3872" s="54">
        <f t="shared" si="65"/>
        <v>111.88124999999999</v>
      </c>
      <c r="H3872" s="39">
        <f>SUM(G3872:G3879)</f>
        <v>184.91026862499999</v>
      </c>
      <c r="I3872" s="40"/>
      <c r="J3872" s="155">
        <v>30</v>
      </c>
    </row>
    <row r="3873" spans="1:10" ht="52.8" x14ac:dyDescent="0.3">
      <c r="A3873" s="227"/>
      <c r="B3873" s="224"/>
      <c r="C3873" s="36" t="s">
        <v>988</v>
      </c>
      <c r="D3873" s="47" t="s">
        <v>983</v>
      </c>
      <c r="E3873" s="37">
        <v>6.0000000000000001E-3</v>
      </c>
      <c r="F3873" s="54">
        <v>191.51349999999999</v>
      </c>
      <c r="G3873" s="54">
        <f t="shared" si="65"/>
        <v>1.149081</v>
      </c>
      <c r="H3873" s="73"/>
      <c r="I3873" s="74"/>
      <c r="J3873" s="155">
        <v>30</v>
      </c>
    </row>
    <row r="3874" spans="1:10" ht="52.8" x14ac:dyDescent="0.3">
      <c r="A3874" s="227"/>
      <c r="B3874" s="224"/>
      <c r="C3874" s="36" t="s">
        <v>989</v>
      </c>
      <c r="D3874" s="36" t="s">
        <v>985</v>
      </c>
      <c r="E3874" s="37">
        <v>3.0000000000000001E-3</v>
      </c>
      <c r="F3874" s="54">
        <v>35.274999999999999</v>
      </c>
      <c r="G3874" s="54">
        <f t="shared" si="65"/>
        <v>0.105825</v>
      </c>
      <c r="H3874" s="73"/>
      <c r="I3874" s="74"/>
      <c r="J3874" s="155">
        <v>30</v>
      </c>
    </row>
    <row r="3875" spans="1:10" x14ac:dyDescent="0.3">
      <c r="A3875" s="227"/>
      <c r="B3875" s="224"/>
      <c r="C3875" s="36" t="s">
        <v>745</v>
      </c>
      <c r="D3875" s="36" t="s">
        <v>744</v>
      </c>
      <c r="E3875" s="37">
        <v>0.65900000000000003</v>
      </c>
      <c r="F3875" s="54">
        <v>14.968499999999999</v>
      </c>
      <c r="G3875" s="54">
        <f t="shared" si="65"/>
        <v>9.8642415000000003</v>
      </c>
      <c r="H3875" s="73"/>
      <c r="I3875" s="74"/>
      <c r="J3875" s="155">
        <v>30</v>
      </c>
    </row>
    <row r="3876" spans="1:10" ht="26.4" x14ac:dyDescent="0.3">
      <c r="A3876" s="227"/>
      <c r="B3876" s="224"/>
      <c r="C3876" s="36" t="s">
        <v>982</v>
      </c>
      <c r="D3876" s="47" t="s">
        <v>983</v>
      </c>
      <c r="E3876" s="37">
        <v>0.27400000000000002</v>
      </c>
      <c r="F3876" s="54">
        <v>22.728999999999999</v>
      </c>
      <c r="G3876" s="54">
        <f t="shared" si="65"/>
        <v>6.2277460000000007</v>
      </c>
      <c r="H3876" s="73"/>
      <c r="I3876" s="74"/>
      <c r="J3876" s="155">
        <v>30</v>
      </c>
    </row>
    <row r="3877" spans="1:10" ht="26.4" x14ac:dyDescent="0.3">
      <c r="A3877" s="227"/>
      <c r="B3877" s="224"/>
      <c r="C3877" s="36" t="s">
        <v>984</v>
      </c>
      <c r="D3877" s="47" t="s">
        <v>985</v>
      </c>
      <c r="E3877" s="37">
        <v>0.254</v>
      </c>
      <c r="F3877" s="54">
        <v>16.4985</v>
      </c>
      <c r="G3877" s="54">
        <f t="shared" si="65"/>
        <v>4.1906189999999999</v>
      </c>
      <c r="H3877" s="73"/>
      <c r="I3877" s="74"/>
      <c r="J3877" s="155">
        <v>30</v>
      </c>
    </row>
    <row r="3878" spans="1:10" ht="52.8" x14ac:dyDescent="0.3">
      <c r="A3878" s="227"/>
      <c r="B3878" s="224"/>
      <c r="C3878" s="36" t="s">
        <v>1931</v>
      </c>
      <c r="D3878" s="36" t="s">
        <v>110</v>
      </c>
      <c r="E3878" s="37">
        <f>1*E3872</f>
        <v>1.25</v>
      </c>
      <c r="F3878" s="34">
        <v>5.4059098999999993</v>
      </c>
      <c r="G3878" s="34">
        <f t="shared" si="65"/>
        <v>6.7573873749999986</v>
      </c>
      <c r="H3878" s="35"/>
      <c r="I3878" s="31"/>
      <c r="J3878" s="155">
        <v>30</v>
      </c>
    </row>
    <row r="3879" spans="1:10" ht="26.4" x14ac:dyDescent="0.3">
      <c r="A3879" s="227"/>
      <c r="B3879" s="224"/>
      <c r="C3879" s="36" t="s">
        <v>123</v>
      </c>
      <c r="D3879" s="47" t="s">
        <v>124</v>
      </c>
      <c r="E3879" s="37">
        <f>E3872*20</f>
        <v>25</v>
      </c>
      <c r="F3879" s="54">
        <v>1.7893647499999998</v>
      </c>
      <c r="G3879" s="54">
        <f t="shared" si="65"/>
        <v>44.734118749999993</v>
      </c>
      <c r="H3879" s="73"/>
      <c r="I3879" s="74"/>
      <c r="J3879" s="155">
        <v>30</v>
      </c>
    </row>
    <row r="3880" spans="1:10" x14ac:dyDescent="0.3">
      <c r="A3880" s="227"/>
      <c r="B3880" s="224"/>
      <c r="C3880" s="51"/>
      <c r="D3880" s="47"/>
      <c r="E3880" s="37"/>
      <c r="F3880" s="54" t="s">
        <v>560</v>
      </c>
      <c r="G3880" s="54" t="str">
        <f t="shared" si="65"/>
        <v/>
      </c>
      <c r="H3880" s="73"/>
      <c r="I3880" s="74"/>
      <c r="J3880" s="155">
        <v>30</v>
      </c>
    </row>
    <row r="3881" spans="1:10" x14ac:dyDescent="0.3">
      <c r="A3881" s="227"/>
      <c r="B3881" s="224"/>
      <c r="C3881" s="48" t="s">
        <v>796</v>
      </c>
      <c r="D3881" s="47"/>
      <c r="E3881" s="37"/>
      <c r="F3881" s="54" t="s">
        <v>560</v>
      </c>
      <c r="G3881" s="54" t="str">
        <f t="shared" si="65"/>
        <v/>
      </c>
      <c r="H3881" s="73"/>
      <c r="I3881" s="74"/>
      <c r="J3881" s="155">
        <v>30</v>
      </c>
    </row>
    <row r="3882" spans="1:10" ht="15" thickBot="1" x14ac:dyDescent="0.35">
      <c r="A3882" s="227"/>
      <c r="B3882" s="224"/>
      <c r="C3882" s="55"/>
      <c r="D3882" s="55"/>
      <c r="E3882" s="66"/>
      <c r="F3882" s="76" t="s">
        <v>560</v>
      </c>
      <c r="G3882" s="76" t="str">
        <f t="shared" si="65"/>
        <v/>
      </c>
      <c r="H3882" s="77"/>
      <c r="I3882" s="74"/>
      <c r="J3882" s="155">
        <v>30</v>
      </c>
    </row>
    <row r="3883" spans="1:10" ht="15" hidden="1" thickBot="1" x14ac:dyDescent="0.35">
      <c r="A3883" s="226" t="s">
        <v>1233</v>
      </c>
      <c r="B3883" s="223" t="e">
        <f>INDEX(#REF!,MATCH(Composições!A3883,#REF!,0),2)</f>
        <v>#REF!</v>
      </c>
      <c r="C3883" s="41"/>
      <c r="D3883" s="26" t="e">
        <f>TRIM(INDEX(#REF!,MATCH(Composições!A3883,#REF!,0),1))</f>
        <v>#REF!</v>
      </c>
      <c r="E3883" s="27"/>
      <c r="F3883" s="49" t="s">
        <v>560</v>
      </c>
      <c r="G3883" s="28" t="str">
        <f t="shared" si="65"/>
        <v/>
      </c>
      <c r="H3883" s="29"/>
      <c r="I3883" s="30"/>
      <c r="J3883" s="155">
        <v>0</v>
      </c>
    </row>
    <row r="3884" spans="1:10" ht="15" hidden="1" thickBot="1" x14ac:dyDescent="0.35">
      <c r="A3884" s="227"/>
      <c r="B3884" s="224"/>
      <c r="C3884" s="32"/>
      <c r="D3884" s="32"/>
      <c r="E3884" s="33"/>
      <c r="F3884" s="54" t="s">
        <v>560</v>
      </c>
      <c r="G3884" s="54" t="str">
        <f t="shared" si="65"/>
        <v/>
      </c>
      <c r="H3884" s="73"/>
      <c r="I3884" s="74"/>
      <c r="J3884" s="155">
        <v>0</v>
      </c>
    </row>
    <row r="3885" spans="1:10" ht="15" hidden="1" thickBot="1" x14ac:dyDescent="0.35">
      <c r="A3885" s="227"/>
      <c r="B3885" s="224"/>
      <c r="C3885" s="36" t="s">
        <v>1234</v>
      </c>
      <c r="D3885" s="47" t="s">
        <v>939</v>
      </c>
      <c r="E3885" s="37">
        <v>1.4</v>
      </c>
      <c r="F3885" s="54">
        <v>9.86</v>
      </c>
      <c r="G3885" s="54">
        <f t="shared" si="65"/>
        <v>13.803999999999998</v>
      </c>
      <c r="H3885" s="39">
        <f>SUM(G3885:G3894)</f>
        <v>630.75252999999987</v>
      </c>
      <c r="I3885" s="40"/>
      <c r="J3885" s="155">
        <v>0</v>
      </c>
    </row>
    <row r="3886" spans="1:10" ht="15" hidden="1" thickBot="1" x14ac:dyDescent="0.35">
      <c r="A3886" s="227"/>
      <c r="B3886" s="224"/>
      <c r="C3886" s="36" t="s">
        <v>1235</v>
      </c>
      <c r="D3886" s="47" t="s">
        <v>939</v>
      </c>
      <c r="E3886" s="37">
        <v>3.0000000000000001E-3</v>
      </c>
      <c r="F3886" s="54">
        <v>16.226499999999998</v>
      </c>
      <c r="G3886" s="54">
        <f t="shared" si="65"/>
        <v>4.8679499999999994E-2</v>
      </c>
      <c r="H3886" s="73"/>
      <c r="I3886" s="74"/>
      <c r="J3886" s="155">
        <v>0</v>
      </c>
    </row>
    <row r="3887" spans="1:10" ht="27" hidden="1" thickBot="1" x14ac:dyDescent="0.35">
      <c r="A3887" s="227"/>
      <c r="B3887" s="224"/>
      <c r="C3887" s="36" t="s">
        <v>1080</v>
      </c>
      <c r="D3887" s="36" t="s">
        <v>292</v>
      </c>
      <c r="E3887" s="37">
        <v>3.3330000000000002</v>
      </c>
      <c r="F3887" s="54">
        <v>1.3345</v>
      </c>
      <c r="G3887" s="54">
        <f t="shared" si="65"/>
        <v>4.4478885000000004</v>
      </c>
      <c r="H3887" s="73"/>
      <c r="I3887" s="74"/>
      <c r="J3887" s="155">
        <v>0</v>
      </c>
    </row>
    <row r="3888" spans="1:10" ht="40.200000000000003" hidden="1" thickBot="1" x14ac:dyDescent="0.35">
      <c r="A3888" s="227"/>
      <c r="B3888" s="224"/>
      <c r="C3888" s="36" t="s">
        <v>1236</v>
      </c>
      <c r="D3888" s="36" t="s">
        <v>292</v>
      </c>
      <c r="E3888" s="37">
        <v>5</v>
      </c>
      <c r="F3888" s="54">
        <v>0.24649999999999997</v>
      </c>
      <c r="G3888" s="54">
        <f t="shared" si="65"/>
        <v>1.2324999999999999</v>
      </c>
      <c r="H3888" s="73"/>
      <c r="I3888" s="74"/>
      <c r="J3888" s="155">
        <v>0</v>
      </c>
    </row>
    <row r="3889" spans="1:10" ht="15" hidden="1" thickBot="1" x14ac:dyDescent="0.35">
      <c r="A3889" s="227"/>
      <c r="B3889" s="224"/>
      <c r="C3889" s="36" t="s">
        <v>1237</v>
      </c>
      <c r="D3889" s="36" t="s">
        <v>515</v>
      </c>
      <c r="E3889" s="37">
        <v>3.149</v>
      </c>
      <c r="F3889" s="54">
        <v>11.305</v>
      </c>
      <c r="G3889" s="54">
        <f t="shared" si="65"/>
        <v>35.599445000000003</v>
      </c>
      <c r="H3889" s="73"/>
      <c r="I3889" s="74"/>
      <c r="J3889" s="155">
        <v>0</v>
      </c>
    </row>
    <row r="3890" spans="1:10" ht="15" hidden="1" thickBot="1" x14ac:dyDescent="0.35">
      <c r="A3890" s="227"/>
      <c r="B3890" s="224"/>
      <c r="C3890" s="36" t="s">
        <v>876</v>
      </c>
      <c r="D3890" s="36" t="s">
        <v>939</v>
      </c>
      <c r="E3890" s="37">
        <v>3.4089999999999998</v>
      </c>
      <c r="F3890" s="54">
        <v>34.305999999999997</v>
      </c>
      <c r="G3890" s="54">
        <f t="shared" si="65"/>
        <v>116.94915399999998</v>
      </c>
      <c r="H3890" s="73"/>
      <c r="I3890" s="74"/>
      <c r="J3890" s="155">
        <v>0</v>
      </c>
    </row>
    <row r="3891" spans="1:10" ht="27" hidden="1" thickBot="1" x14ac:dyDescent="0.35">
      <c r="A3891" s="227"/>
      <c r="B3891" s="224"/>
      <c r="C3891" s="36" t="s">
        <v>1238</v>
      </c>
      <c r="D3891" s="36" t="s">
        <v>1035</v>
      </c>
      <c r="E3891" s="37">
        <v>0.998</v>
      </c>
      <c r="F3891" s="54">
        <v>330.90499999999997</v>
      </c>
      <c r="G3891" s="54">
        <f t="shared" si="65"/>
        <v>330.24318999999997</v>
      </c>
      <c r="H3891" s="73"/>
      <c r="I3891" s="74"/>
      <c r="J3891" s="155">
        <v>0</v>
      </c>
    </row>
    <row r="3892" spans="1:10" ht="15" hidden="1" thickBot="1" x14ac:dyDescent="0.35">
      <c r="A3892" s="227"/>
      <c r="B3892" s="224"/>
      <c r="C3892" s="36" t="s">
        <v>1176</v>
      </c>
      <c r="D3892" s="47" t="s">
        <v>292</v>
      </c>
      <c r="E3892" s="37">
        <v>0.85499999999999998</v>
      </c>
      <c r="F3892" s="54">
        <v>18.071000000000002</v>
      </c>
      <c r="G3892" s="54">
        <f t="shared" si="65"/>
        <v>15.450705000000001</v>
      </c>
      <c r="H3892" s="73"/>
      <c r="I3892" s="74"/>
      <c r="J3892" s="155">
        <v>0</v>
      </c>
    </row>
    <row r="3893" spans="1:10" ht="15" hidden="1" thickBot="1" x14ac:dyDescent="0.35">
      <c r="A3893" s="227"/>
      <c r="B3893" s="224"/>
      <c r="C3893" s="36" t="s">
        <v>829</v>
      </c>
      <c r="D3893" s="47" t="s">
        <v>744</v>
      </c>
      <c r="E3893" s="37">
        <v>2.754</v>
      </c>
      <c r="F3893" s="54">
        <v>16.413499999999999</v>
      </c>
      <c r="G3893" s="54">
        <f t="shared" si="65"/>
        <v>45.202779</v>
      </c>
      <c r="H3893" s="73"/>
      <c r="I3893" s="74"/>
      <c r="J3893" s="155">
        <v>0</v>
      </c>
    </row>
    <row r="3894" spans="1:10" ht="15" hidden="1" thickBot="1" x14ac:dyDescent="0.35">
      <c r="A3894" s="227"/>
      <c r="B3894" s="224"/>
      <c r="C3894" s="36" t="s">
        <v>1239</v>
      </c>
      <c r="D3894" s="47" t="s">
        <v>744</v>
      </c>
      <c r="E3894" s="37">
        <v>3.3530000000000002</v>
      </c>
      <c r="F3894" s="54">
        <v>20.213000000000001</v>
      </c>
      <c r="G3894" s="54">
        <f t="shared" si="65"/>
        <v>67.774189000000007</v>
      </c>
      <c r="H3894" s="73"/>
      <c r="I3894" s="74"/>
      <c r="J3894" s="155">
        <v>0</v>
      </c>
    </row>
    <row r="3895" spans="1:10" ht="15" hidden="1" thickBot="1" x14ac:dyDescent="0.35">
      <c r="A3895" s="228"/>
      <c r="B3895" s="225"/>
      <c r="C3895" s="55"/>
      <c r="D3895" s="55"/>
      <c r="E3895" s="66"/>
      <c r="F3895" s="76" t="s">
        <v>560</v>
      </c>
      <c r="G3895" s="76" t="str">
        <f t="shared" si="65"/>
        <v/>
      </c>
      <c r="H3895" s="77"/>
      <c r="I3895" s="74"/>
      <c r="J3895" s="155">
        <v>0</v>
      </c>
    </row>
    <row r="3896" spans="1:10" ht="15" hidden="1" thickBot="1" x14ac:dyDescent="0.35">
      <c r="A3896" s="226" t="s">
        <v>1240</v>
      </c>
      <c r="B3896" s="223" t="e">
        <f>INDEX(#REF!,MATCH(Composições!A3896,#REF!,0),2)</f>
        <v>#REF!</v>
      </c>
      <c r="C3896" s="41"/>
      <c r="D3896" s="26" t="e">
        <f>TRIM(INDEX(#REF!,MATCH(Composições!A3896,#REF!,0),1))</f>
        <v>#REF!</v>
      </c>
      <c r="E3896" s="27"/>
      <c r="F3896" s="42" t="s">
        <v>560</v>
      </c>
      <c r="G3896" s="28" t="str">
        <f t="shared" si="65"/>
        <v/>
      </c>
      <c r="H3896" s="29"/>
      <c r="I3896" s="30"/>
      <c r="J3896" s="155">
        <v>0</v>
      </c>
    </row>
    <row r="3897" spans="1:10" ht="15" hidden="1" thickBot="1" x14ac:dyDescent="0.35">
      <c r="A3897" s="227"/>
      <c r="B3897" s="224"/>
      <c r="C3897" s="32"/>
      <c r="D3897" s="32"/>
      <c r="E3897" s="33"/>
      <c r="F3897" s="43" t="s">
        <v>560</v>
      </c>
      <c r="G3897" s="31" t="str">
        <f t="shared" si="65"/>
        <v/>
      </c>
      <c r="H3897" s="35"/>
      <c r="I3897" s="31"/>
      <c r="J3897" s="155">
        <v>0</v>
      </c>
    </row>
    <row r="3898" spans="1:10" ht="15" hidden="1" thickBot="1" x14ac:dyDescent="0.35">
      <c r="A3898" s="227"/>
      <c r="B3898" s="224"/>
      <c r="C3898" s="36" t="s">
        <v>68</v>
      </c>
      <c r="D3898" s="47" t="s">
        <v>12</v>
      </c>
      <c r="E3898" s="37">
        <f>1/10</f>
        <v>0.1</v>
      </c>
      <c r="F3898" s="31">
        <v>18.861499999999999</v>
      </c>
      <c r="G3898" s="34">
        <f t="shared" si="65"/>
        <v>1.88615</v>
      </c>
      <c r="H3898" s="39">
        <f>SUM(G3898:G3899)</f>
        <v>1.88615</v>
      </c>
      <c r="I3898" s="40"/>
      <c r="J3898" s="155">
        <v>0</v>
      </c>
    </row>
    <row r="3899" spans="1:10" ht="15" hidden="1" thickBot="1" x14ac:dyDescent="0.35">
      <c r="A3899" s="227"/>
      <c r="B3899" s="224"/>
      <c r="C3899" s="36" t="s">
        <v>1241</v>
      </c>
      <c r="D3899" s="47" t="s">
        <v>93</v>
      </c>
      <c r="E3899" s="37">
        <v>1.05</v>
      </c>
      <c r="F3899" s="34" t="s">
        <v>560</v>
      </c>
      <c r="G3899" s="34" t="str">
        <f t="shared" si="65"/>
        <v/>
      </c>
      <c r="H3899" s="35"/>
      <c r="I3899" s="31"/>
      <c r="J3899" s="155">
        <v>0</v>
      </c>
    </row>
    <row r="3900" spans="1:10" ht="15" hidden="1" thickBot="1" x14ac:dyDescent="0.35">
      <c r="A3900" s="228"/>
      <c r="B3900" s="225"/>
      <c r="C3900" s="36"/>
      <c r="D3900" s="47"/>
      <c r="E3900" s="37"/>
      <c r="F3900" s="34" t="s">
        <v>560</v>
      </c>
      <c r="G3900" s="34" t="str">
        <f t="shared" si="65"/>
        <v/>
      </c>
      <c r="H3900" s="35"/>
      <c r="I3900" s="31"/>
      <c r="J3900" s="155">
        <v>0</v>
      </c>
    </row>
    <row r="3901" spans="1:10" ht="15" hidden="1" thickBot="1" x14ac:dyDescent="0.35">
      <c r="A3901" s="226" t="s">
        <v>1242</v>
      </c>
      <c r="B3901" s="223" t="e">
        <f>INDEX(#REF!,MATCH(Composições!A3901,#REF!,0),2)</f>
        <v>#REF!</v>
      </c>
      <c r="C3901" s="41"/>
      <c r="D3901" s="26" t="e">
        <f>TRIM(INDEX(#REF!,MATCH(Composições!A3901,#REF!,0),1))</f>
        <v>#REF!</v>
      </c>
      <c r="E3901" s="27"/>
      <c r="F3901" s="49" t="s">
        <v>560</v>
      </c>
      <c r="G3901" s="28" t="str">
        <f t="shared" si="65"/>
        <v/>
      </c>
      <c r="H3901" s="29"/>
      <c r="I3901" s="30"/>
      <c r="J3901" s="155">
        <v>0</v>
      </c>
    </row>
    <row r="3902" spans="1:10" ht="15" hidden="1" thickBot="1" x14ac:dyDescent="0.35">
      <c r="A3902" s="227"/>
      <c r="B3902" s="224"/>
      <c r="C3902" s="32"/>
      <c r="D3902" s="32"/>
      <c r="E3902" s="33"/>
      <c r="F3902" s="54" t="s">
        <v>560</v>
      </c>
      <c r="G3902" s="54" t="str">
        <f t="shared" si="65"/>
        <v/>
      </c>
      <c r="H3902" s="73"/>
      <c r="I3902" s="74"/>
      <c r="J3902" s="155">
        <v>0</v>
      </c>
    </row>
    <row r="3903" spans="1:10" ht="15" hidden="1" thickBot="1" x14ac:dyDescent="0.35">
      <c r="A3903" s="227"/>
      <c r="B3903" s="224"/>
      <c r="C3903" s="36" t="s">
        <v>1243</v>
      </c>
      <c r="D3903" s="36" t="s">
        <v>12</v>
      </c>
      <c r="E3903" s="37">
        <v>1</v>
      </c>
      <c r="F3903" s="54">
        <v>2.2269999999999999</v>
      </c>
      <c r="G3903" s="54">
        <f t="shared" si="65"/>
        <v>2.2269999999999999</v>
      </c>
      <c r="H3903" s="39">
        <f>SUM(G3903:G3903)</f>
        <v>2.2269999999999999</v>
      </c>
      <c r="I3903" s="40"/>
      <c r="J3903" s="155">
        <v>0</v>
      </c>
    </row>
    <row r="3904" spans="1:10" ht="15" hidden="1" thickBot="1" x14ac:dyDescent="0.35">
      <c r="A3904" s="227"/>
      <c r="B3904" s="224"/>
      <c r="C3904" s="55"/>
      <c r="D3904" s="55"/>
      <c r="E3904" s="66"/>
      <c r="F3904" s="76" t="s">
        <v>560</v>
      </c>
      <c r="G3904" s="76" t="str">
        <f t="shared" si="65"/>
        <v/>
      </c>
      <c r="H3904" s="77"/>
      <c r="I3904" s="74"/>
      <c r="J3904" s="155">
        <v>0</v>
      </c>
    </row>
    <row r="3905" spans="1:10" ht="15" hidden="1" thickBot="1" x14ac:dyDescent="0.35">
      <c r="A3905" s="226" t="s">
        <v>1244</v>
      </c>
      <c r="B3905" s="223" t="e">
        <f>INDEX(#REF!,MATCH(Composições!A3905,#REF!,0),2)</f>
        <v>#REF!</v>
      </c>
      <c r="C3905" s="41"/>
      <c r="D3905" s="26" t="e">
        <f>TRIM(INDEX(#REF!,MATCH(Composições!A3905,#REF!,0),1))</f>
        <v>#REF!</v>
      </c>
      <c r="E3905" s="27"/>
      <c r="F3905" s="49" t="s">
        <v>560</v>
      </c>
      <c r="G3905" s="28" t="str">
        <f t="shared" ref="G3905:G3968" si="66">IF(ISNUMBER(F3905),E3905*F3905,"")</f>
        <v/>
      </c>
      <c r="H3905" s="29"/>
      <c r="I3905" s="30"/>
      <c r="J3905" s="155">
        <v>0</v>
      </c>
    </row>
    <row r="3906" spans="1:10" ht="15" hidden="1" thickBot="1" x14ac:dyDescent="0.35">
      <c r="A3906" s="227"/>
      <c r="B3906" s="224"/>
      <c r="C3906" s="32"/>
      <c r="D3906" s="32"/>
      <c r="E3906" s="33"/>
      <c r="F3906" s="54" t="s">
        <v>560</v>
      </c>
      <c r="G3906" s="54" t="str">
        <f t="shared" si="66"/>
        <v/>
      </c>
      <c r="H3906" s="73"/>
      <c r="I3906" s="74"/>
      <c r="J3906" s="155">
        <v>0</v>
      </c>
    </row>
    <row r="3907" spans="1:10" ht="15" hidden="1" thickBot="1" x14ac:dyDescent="0.35">
      <c r="A3907" s="227"/>
      <c r="B3907" s="224"/>
      <c r="C3907" s="36" t="s">
        <v>1245</v>
      </c>
      <c r="D3907" s="36" t="s">
        <v>744</v>
      </c>
      <c r="E3907" s="37">
        <v>1.05</v>
      </c>
      <c r="F3907" s="54">
        <v>1.1560000000000001</v>
      </c>
      <c r="G3907" s="54">
        <f t="shared" si="66"/>
        <v>1.2138000000000002</v>
      </c>
      <c r="H3907" s="39">
        <f>SUM(G3907:G3907)</f>
        <v>1.2138000000000002</v>
      </c>
      <c r="I3907" s="40"/>
      <c r="J3907" s="155">
        <v>0</v>
      </c>
    </row>
    <row r="3908" spans="1:10" ht="15" hidden="1" thickBot="1" x14ac:dyDescent="0.35">
      <c r="A3908" s="228"/>
      <c r="B3908" s="225"/>
      <c r="C3908" s="55"/>
      <c r="D3908" s="55"/>
      <c r="E3908" s="66"/>
      <c r="F3908" s="76" t="s">
        <v>560</v>
      </c>
      <c r="G3908" s="76" t="str">
        <f t="shared" si="66"/>
        <v/>
      </c>
      <c r="H3908" s="77"/>
      <c r="I3908" s="74"/>
      <c r="J3908" s="155">
        <v>0</v>
      </c>
    </row>
    <row r="3909" spans="1:10" ht="15" hidden="1" thickBot="1" x14ac:dyDescent="0.35">
      <c r="A3909" s="226" t="s">
        <v>1246</v>
      </c>
      <c r="B3909" s="223" t="e">
        <f>INDEX(#REF!,MATCH(Composições!A3909,#REF!,0),2)</f>
        <v>#REF!</v>
      </c>
      <c r="C3909" s="41"/>
      <c r="D3909" s="26" t="e">
        <f>TRIM(INDEX(#REF!,MATCH(Composições!A3909,#REF!,0),1))</f>
        <v>#REF!</v>
      </c>
      <c r="E3909" s="27"/>
      <c r="F3909" s="49" t="s">
        <v>560</v>
      </c>
      <c r="G3909" s="28" t="str">
        <f t="shared" si="66"/>
        <v/>
      </c>
      <c r="H3909" s="29"/>
      <c r="I3909" s="30"/>
      <c r="J3909" s="155">
        <v>0</v>
      </c>
    </row>
    <row r="3910" spans="1:10" ht="15" hidden="1" thickBot="1" x14ac:dyDescent="0.35">
      <c r="A3910" s="227"/>
      <c r="B3910" s="224"/>
      <c r="C3910" s="32"/>
      <c r="D3910" s="32"/>
      <c r="E3910" s="33"/>
      <c r="F3910" s="54" t="s">
        <v>560</v>
      </c>
      <c r="G3910" s="54" t="str">
        <f t="shared" si="66"/>
        <v/>
      </c>
      <c r="H3910" s="73"/>
      <c r="I3910" s="74"/>
      <c r="J3910" s="155">
        <v>0</v>
      </c>
    </row>
    <row r="3911" spans="1:10" ht="27" hidden="1" thickBot="1" x14ac:dyDescent="0.35">
      <c r="A3911" s="227"/>
      <c r="B3911" s="224"/>
      <c r="C3911" s="36" t="s">
        <v>1247</v>
      </c>
      <c r="D3911" s="47" t="s">
        <v>292</v>
      </c>
      <c r="E3911" s="37">
        <v>1</v>
      </c>
      <c r="F3911" s="54">
        <v>34.773499999999999</v>
      </c>
      <c r="G3911" s="54">
        <f t="shared" si="66"/>
        <v>34.773499999999999</v>
      </c>
      <c r="H3911" s="39">
        <f>SUM(G3911:G3916)</f>
        <v>42.293347999999995</v>
      </c>
      <c r="I3911" s="40"/>
      <c r="J3911" s="155">
        <v>0</v>
      </c>
    </row>
    <row r="3912" spans="1:10" ht="27" hidden="1" thickBot="1" x14ac:dyDescent="0.35">
      <c r="A3912" s="227"/>
      <c r="B3912" s="224"/>
      <c r="C3912" s="36" t="s">
        <v>1248</v>
      </c>
      <c r="D3912" s="47" t="s">
        <v>292</v>
      </c>
      <c r="E3912" s="37">
        <v>8.3999999999999995E-3</v>
      </c>
      <c r="F3912" s="54">
        <v>256.84449999999998</v>
      </c>
      <c r="G3912" s="54">
        <f t="shared" si="66"/>
        <v>2.1574937999999997</v>
      </c>
      <c r="H3912" s="73"/>
      <c r="I3912" s="74"/>
      <c r="J3912" s="155">
        <v>0</v>
      </c>
    </row>
    <row r="3913" spans="1:10" ht="15" hidden="1" thickBot="1" x14ac:dyDescent="0.35">
      <c r="A3913" s="227"/>
      <c r="B3913" s="224"/>
      <c r="C3913" s="36" t="s">
        <v>1249</v>
      </c>
      <c r="D3913" s="36" t="s">
        <v>292</v>
      </c>
      <c r="E3913" s="37">
        <v>5.9400000000000001E-2</v>
      </c>
      <c r="F3913" s="54">
        <v>1.87</v>
      </c>
      <c r="G3913" s="54">
        <f t="shared" si="66"/>
        <v>0.11107800000000001</v>
      </c>
      <c r="H3913" s="73"/>
      <c r="I3913" s="74"/>
      <c r="J3913" s="155">
        <v>0</v>
      </c>
    </row>
    <row r="3914" spans="1:10" ht="27" hidden="1" thickBot="1" x14ac:dyDescent="0.35">
      <c r="A3914" s="227"/>
      <c r="B3914" s="224"/>
      <c r="C3914" s="36" t="s">
        <v>1250</v>
      </c>
      <c r="D3914" s="36" t="s">
        <v>292</v>
      </c>
      <c r="E3914" s="37">
        <v>1.0800000000000001E-2</v>
      </c>
      <c r="F3914" s="54">
        <v>47.081499999999998</v>
      </c>
      <c r="G3914" s="54">
        <f t="shared" si="66"/>
        <v>0.50848020000000005</v>
      </c>
      <c r="H3914" s="73"/>
      <c r="I3914" s="74"/>
      <c r="J3914" s="155">
        <v>0</v>
      </c>
    </row>
    <row r="3915" spans="1:10" ht="27" hidden="1" thickBot="1" x14ac:dyDescent="0.35">
      <c r="A3915" s="227"/>
      <c r="B3915" s="224"/>
      <c r="C3915" s="36" t="s">
        <v>994</v>
      </c>
      <c r="D3915" s="36" t="s">
        <v>744</v>
      </c>
      <c r="E3915" s="37">
        <v>0.13400000000000001</v>
      </c>
      <c r="F3915" s="54">
        <v>15.4955</v>
      </c>
      <c r="G3915" s="54">
        <f t="shared" si="66"/>
        <v>2.076397</v>
      </c>
      <c r="H3915" s="73"/>
      <c r="I3915" s="74"/>
      <c r="J3915" s="155">
        <v>0</v>
      </c>
    </row>
    <row r="3916" spans="1:10" ht="27" hidden="1" thickBot="1" x14ac:dyDescent="0.35">
      <c r="A3916" s="227"/>
      <c r="B3916" s="224"/>
      <c r="C3916" s="36" t="s">
        <v>995</v>
      </c>
      <c r="D3916" s="36" t="s">
        <v>744</v>
      </c>
      <c r="E3916" s="37">
        <v>0.13400000000000001</v>
      </c>
      <c r="F3916" s="54">
        <v>19.898499999999999</v>
      </c>
      <c r="G3916" s="54">
        <f t="shared" si="66"/>
        <v>2.6663989999999997</v>
      </c>
      <c r="H3916" s="73"/>
      <c r="I3916" s="74"/>
      <c r="J3916" s="155">
        <v>0</v>
      </c>
    </row>
    <row r="3917" spans="1:10" ht="15" hidden="1" thickBot="1" x14ac:dyDescent="0.35">
      <c r="A3917" s="228"/>
      <c r="B3917" s="225"/>
      <c r="C3917" s="55"/>
      <c r="D3917" s="55"/>
      <c r="E3917" s="66"/>
      <c r="F3917" s="76" t="s">
        <v>560</v>
      </c>
      <c r="G3917" s="76" t="str">
        <f t="shared" si="66"/>
        <v/>
      </c>
      <c r="H3917" s="77"/>
      <c r="I3917" s="74"/>
      <c r="J3917" s="155">
        <v>0</v>
      </c>
    </row>
    <row r="3918" spans="1:10" ht="15" hidden="1" thickBot="1" x14ac:dyDescent="0.35">
      <c r="A3918" s="226" t="s">
        <v>1251</v>
      </c>
      <c r="B3918" s="223" t="e">
        <f>INDEX(#REF!,MATCH(Composições!A3918,#REF!,0),2)</f>
        <v>#REF!</v>
      </c>
      <c r="C3918" s="41"/>
      <c r="D3918" s="26" t="e">
        <f>TRIM(INDEX(#REF!,MATCH(Composições!A3918,#REF!,0),1))</f>
        <v>#REF!</v>
      </c>
      <c r="E3918" s="27"/>
      <c r="F3918" s="49" t="s">
        <v>560</v>
      </c>
      <c r="G3918" s="28" t="str">
        <f t="shared" si="66"/>
        <v/>
      </c>
      <c r="H3918" s="29"/>
      <c r="I3918" s="30"/>
      <c r="J3918" s="155">
        <v>0</v>
      </c>
    </row>
    <row r="3919" spans="1:10" ht="15" hidden="1" thickBot="1" x14ac:dyDescent="0.35">
      <c r="A3919" s="227"/>
      <c r="B3919" s="224"/>
      <c r="C3919" s="32"/>
      <c r="D3919" s="32"/>
      <c r="E3919" s="33"/>
      <c r="F3919" s="54" t="s">
        <v>560</v>
      </c>
      <c r="G3919" s="54" t="str">
        <f t="shared" si="66"/>
        <v/>
      </c>
      <c r="H3919" s="73"/>
      <c r="I3919" s="74"/>
      <c r="J3919" s="155">
        <v>0</v>
      </c>
    </row>
    <row r="3920" spans="1:10" ht="27" hidden="1" thickBot="1" x14ac:dyDescent="0.35">
      <c r="A3920" s="227"/>
      <c r="B3920" s="224"/>
      <c r="C3920" s="36" t="s">
        <v>1252</v>
      </c>
      <c r="D3920" s="47" t="s">
        <v>292</v>
      </c>
      <c r="E3920" s="37">
        <v>1</v>
      </c>
      <c r="F3920" s="54">
        <v>53.363</v>
      </c>
      <c r="G3920" s="54">
        <f t="shared" si="66"/>
        <v>53.363</v>
      </c>
      <c r="H3920" s="39">
        <f>SUM(G3920:G3925)</f>
        <v>64.577290550000001</v>
      </c>
      <c r="I3920" s="40"/>
      <c r="J3920" s="155">
        <v>0</v>
      </c>
    </row>
    <row r="3921" spans="1:10" ht="27" hidden="1" thickBot="1" x14ac:dyDescent="0.35">
      <c r="A3921" s="227"/>
      <c r="B3921" s="224"/>
      <c r="C3921" s="36" t="s">
        <v>1248</v>
      </c>
      <c r="D3921" s="47" t="s">
        <v>292</v>
      </c>
      <c r="E3921" s="37">
        <v>1.7600000000000001E-2</v>
      </c>
      <c r="F3921" s="54">
        <v>256.84449999999998</v>
      </c>
      <c r="G3921" s="54">
        <f t="shared" si="66"/>
        <v>4.5204632</v>
      </c>
      <c r="H3921" s="73"/>
      <c r="I3921" s="74"/>
      <c r="J3921" s="155">
        <v>0</v>
      </c>
    </row>
    <row r="3922" spans="1:10" ht="15" hidden="1" thickBot="1" x14ac:dyDescent="0.35">
      <c r="A3922" s="227"/>
      <c r="B3922" s="224"/>
      <c r="C3922" s="36" t="s">
        <v>1249</v>
      </c>
      <c r="D3922" s="36" t="s">
        <v>292</v>
      </c>
      <c r="E3922" s="37">
        <v>6.93E-2</v>
      </c>
      <c r="F3922" s="54">
        <v>1.87</v>
      </c>
      <c r="G3922" s="54">
        <f t="shared" si="66"/>
        <v>0.12959100000000001</v>
      </c>
      <c r="H3922" s="73"/>
      <c r="I3922" s="74"/>
      <c r="J3922" s="155">
        <v>0</v>
      </c>
    </row>
    <row r="3923" spans="1:10" ht="27" hidden="1" thickBot="1" x14ac:dyDescent="0.35">
      <c r="A3923" s="227"/>
      <c r="B3923" s="224"/>
      <c r="C3923" s="36" t="s">
        <v>1250</v>
      </c>
      <c r="D3923" s="36" t="s">
        <v>292</v>
      </c>
      <c r="E3923" s="37">
        <v>2.29E-2</v>
      </c>
      <c r="F3923" s="54">
        <v>47.081499999999998</v>
      </c>
      <c r="G3923" s="54">
        <f t="shared" si="66"/>
        <v>1.0781663500000001</v>
      </c>
      <c r="H3923" s="73"/>
      <c r="I3923" s="74"/>
      <c r="J3923" s="155">
        <v>0</v>
      </c>
    </row>
    <row r="3924" spans="1:10" ht="27" hidden="1" thickBot="1" x14ac:dyDescent="0.35">
      <c r="A3924" s="227"/>
      <c r="B3924" s="224"/>
      <c r="C3924" s="36" t="s">
        <v>994</v>
      </c>
      <c r="D3924" s="36" t="s">
        <v>744</v>
      </c>
      <c r="E3924" s="37">
        <v>0.155</v>
      </c>
      <c r="F3924" s="54">
        <v>15.4955</v>
      </c>
      <c r="G3924" s="54">
        <f t="shared" si="66"/>
        <v>2.4018025000000001</v>
      </c>
      <c r="H3924" s="73"/>
      <c r="I3924" s="74"/>
      <c r="J3924" s="155">
        <v>0</v>
      </c>
    </row>
    <row r="3925" spans="1:10" ht="27" hidden="1" thickBot="1" x14ac:dyDescent="0.35">
      <c r="A3925" s="227"/>
      <c r="B3925" s="224"/>
      <c r="C3925" s="36" t="s">
        <v>995</v>
      </c>
      <c r="D3925" s="36" t="s">
        <v>744</v>
      </c>
      <c r="E3925" s="37">
        <v>0.155</v>
      </c>
      <c r="F3925" s="54">
        <v>19.898499999999999</v>
      </c>
      <c r="G3925" s="54">
        <f t="shared" si="66"/>
        <v>3.0842674999999997</v>
      </c>
      <c r="H3925" s="73"/>
      <c r="I3925" s="74"/>
      <c r="J3925" s="155">
        <v>0</v>
      </c>
    </row>
    <row r="3926" spans="1:10" ht="15" hidden="1" thickBot="1" x14ac:dyDescent="0.35">
      <c r="A3926" s="228"/>
      <c r="B3926" s="225"/>
      <c r="C3926" s="55"/>
      <c r="D3926" s="55"/>
      <c r="E3926" s="66"/>
      <c r="F3926" s="76" t="s">
        <v>560</v>
      </c>
      <c r="G3926" s="76" t="str">
        <f t="shared" si="66"/>
        <v/>
      </c>
      <c r="H3926" s="77"/>
      <c r="I3926" s="74"/>
      <c r="J3926" s="155">
        <v>0</v>
      </c>
    </row>
    <row r="3927" spans="1:10" ht="15" hidden="1" thickBot="1" x14ac:dyDescent="0.35">
      <c r="A3927" s="226" t="s">
        <v>1253</v>
      </c>
      <c r="B3927" s="223" t="e">
        <f>INDEX(#REF!,MATCH(Composições!A3927,#REF!,0),2)</f>
        <v>#REF!</v>
      </c>
      <c r="C3927" s="41"/>
      <c r="D3927" s="26" t="e">
        <f>TRIM(INDEX(#REF!,MATCH(Composições!A3927,#REF!,0),1))</f>
        <v>#REF!</v>
      </c>
      <c r="E3927" s="27"/>
      <c r="F3927" s="49" t="s">
        <v>560</v>
      </c>
      <c r="G3927" s="28" t="str">
        <f t="shared" si="66"/>
        <v/>
      </c>
      <c r="H3927" s="29"/>
      <c r="I3927" s="30"/>
      <c r="J3927" s="155">
        <v>0</v>
      </c>
    </row>
    <row r="3928" spans="1:10" ht="15" hidden="1" thickBot="1" x14ac:dyDescent="0.35">
      <c r="A3928" s="227"/>
      <c r="B3928" s="224"/>
      <c r="C3928" s="32"/>
      <c r="D3928" s="32"/>
      <c r="E3928" s="33"/>
      <c r="F3928" s="54" t="s">
        <v>560</v>
      </c>
      <c r="G3928" s="54" t="str">
        <f t="shared" si="66"/>
        <v/>
      </c>
      <c r="H3928" s="73"/>
      <c r="I3928" s="74"/>
      <c r="J3928" s="155">
        <v>0</v>
      </c>
    </row>
    <row r="3929" spans="1:10" ht="27" hidden="1" thickBot="1" x14ac:dyDescent="0.35">
      <c r="A3929" s="227"/>
      <c r="B3929" s="224"/>
      <c r="C3929" s="36" t="s">
        <v>1254</v>
      </c>
      <c r="D3929" s="47" t="s">
        <v>292</v>
      </c>
      <c r="E3929" s="37">
        <v>1</v>
      </c>
      <c r="F3929" s="54">
        <v>10.302</v>
      </c>
      <c r="G3929" s="54">
        <f t="shared" si="66"/>
        <v>10.302</v>
      </c>
      <c r="H3929" s="39">
        <f>SUM(G3929:G3934)</f>
        <v>15.31007505</v>
      </c>
      <c r="I3929" s="40"/>
      <c r="J3929" s="155">
        <v>0</v>
      </c>
    </row>
    <row r="3930" spans="1:10" ht="27" hidden="1" thickBot="1" x14ac:dyDescent="0.35">
      <c r="A3930" s="227"/>
      <c r="B3930" s="224"/>
      <c r="C3930" s="36" t="s">
        <v>1248</v>
      </c>
      <c r="D3930" s="47" t="s">
        <v>292</v>
      </c>
      <c r="E3930" s="37">
        <v>4.7999999999999996E-3</v>
      </c>
      <c r="F3930" s="54">
        <v>256.84449999999998</v>
      </c>
      <c r="G3930" s="54">
        <f t="shared" si="66"/>
        <v>1.2328535999999999</v>
      </c>
      <c r="H3930" s="73"/>
      <c r="I3930" s="74"/>
      <c r="J3930" s="155">
        <v>0</v>
      </c>
    </row>
    <row r="3931" spans="1:10" ht="15" hidden="1" thickBot="1" x14ac:dyDescent="0.35">
      <c r="A3931" s="227"/>
      <c r="B3931" s="224"/>
      <c r="C3931" s="36" t="s">
        <v>1249</v>
      </c>
      <c r="D3931" s="36" t="s">
        <v>292</v>
      </c>
      <c r="E3931" s="37">
        <v>4.3200000000000002E-2</v>
      </c>
      <c r="F3931" s="54">
        <v>1.87</v>
      </c>
      <c r="G3931" s="54">
        <f t="shared" si="66"/>
        <v>8.0784000000000009E-2</v>
      </c>
      <c r="H3931" s="73"/>
      <c r="I3931" s="74"/>
      <c r="J3931" s="155">
        <v>0</v>
      </c>
    </row>
    <row r="3932" spans="1:10" ht="27" hidden="1" thickBot="1" x14ac:dyDescent="0.35">
      <c r="A3932" s="227"/>
      <c r="B3932" s="224"/>
      <c r="C3932" s="36" t="s">
        <v>1250</v>
      </c>
      <c r="D3932" s="36" t="s">
        <v>292</v>
      </c>
      <c r="E3932" s="37">
        <v>6.3E-3</v>
      </c>
      <c r="F3932" s="54">
        <v>47.081499999999998</v>
      </c>
      <c r="G3932" s="54">
        <f t="shared" si="66"/>
        <v>0.29661345</v>
      </c>
      <c r="H3932" s="73"/>
      <c r="I3932" s="74"/>
      <c r="J3932" s="155">
        <v>0</v>
      </c>
    </row>
    <row r="3933" spans="1:10" ht="27" hidden="1" thickBot="1" x14ac:dyDescent="0.35">
      <c r="A3933" s="227"/>
      <c r="B3933" s="224"/>
      <c r="C3933" s="36" t="s">
        <v>994</v>
      </c>
      <c r="D3933" s="36" t="s">
        <v>744</v>
      </c>
      <c r="E3933" s="37">
        <v>9.6000000000000002E-2</v>
      </c>
      <c r="F3933" s="54">
        <v>15.4955</v>
      </c>
      <c r="G3933" s="54">
        <f t="shared" si="66"/>
        <v>1.487568</v>
      </c>
      <c r="H3933" s="73"/>
      <c r="I3933" s="74"/>
      <c r="J3933" s="155">
        <v>0</v>
      </c>
    </row>
    <row r="3934" spans="1:10" ht="27" hidden="1" thickBot="1" x14ac:dyDescent="0.35">
      <c r="A3934" s="227"/>
      <c r="B3934" s="224"/>
      <c r="C3934" s="36" t="s">
        <v>995</v>
      </c>
      <c r="D3934" s="36" t="s">
        <v>744</v>
      </c>
      <c r="E3934" s="37">
        <v>9.6000000000000002E-2</v>
      </c>
      <c r="F3934" s="54">
        <v>19.898499999999999</v>
      </c>
      <c r="G3934" s="54">
        <f t="shared" si="66"/>
        <v>1.910256</v>
      </c>
      <c r="H3934" s="73"/>
      <c r="I3934" s="74"/>
      <c r="J3934" s="155">
        <v>0</v>
      </c>
    </row>
    <row r="3935" spans="1:10" ht="15" hidden="1" thickBot="1" x14ac:dyDescent="0.35">
      <c r="A3935" s="228"/>
      <c r="B3935" s="225"/>
      <c r="C3935" s="55"/>
      <c r="D3935" s="55"/>
      <c r="E3935" s="66"/>
      <c r="F3935" s="76" t="s">
        <v>560</v>
      </c>
      <c r="G3935" s="76" t="str">
        <f t="shared" si="66"/>
        <v/>
      </c>
      <c r="H3935" s="77"/>
      <c r="I3935" s="74"/>
      <c r="J3935" s="155">
        <v>0</v>
      </c>
    </row>
    <row r="3936" spans="1:10" ht="15" hidden="1" thickBot="1" x14ac:dyDescent="0.35">
      <c r="A3936" s="226" t="s">
        <v>1255</v>
      </c>
      <c r="B3936" s="223" t="e">
        <f>INDEX(#REF!,MATCH(Composições!A3936,#REF!,0),2)</f>
        <v>#REF!</v>
      </c>
      <c r="C3936" s="41"/>
      <c r="D3936" s="26" t="e">
        <f>TRIM(INDEX(#REF!,MATCH(Composições!A3936,#REF!,0),1))</f>
        <v>#REF!</v>
      </c>
      <c r="E3936" s="27"/>
      <c r="F3936" s="49" t="s">
        <v>560</v>
      </c>
      <c r="G3936" s="28" t="str">
        <f t="shared" si="66"/>
        <v/>
      </c>
      <c r="H3936" s="29"/>
      <c r="I3936" s="30"/>
      <c r="J3936" s="155">
        <v>0</v>
      </c>
    </row>
    <row r="3937" spans="1:10" ht="15" hidden="1" thickBot="1" x14ac:dyDescent="0.35">
      <c r="A3937" s="227"/>
      <c r="B3937" s="224"/>
      <c r="C3937" s="32"/>
      <c r="D3937" s="32"/>
      <c r="E3937" s="33"/>
      <c r="F3937" s="54" t="s">
        <v>560</v>
      </c>
      <c r="G3937" s="54" t="str">
        <f t="shared" si="66"/>
        <v/>
      </c>
      <c r="H3937" s="73"/>
      <c r="I3937" s="74"/>
      <c r="J3937" s="155">
        <v>0</v>
      </c>
    </row>
    <row r="3938" spans="1:10" ht="27" hidden="1" thickBot="1" x14ac:dyDescent="0.35">
      <c r="A3938" s="227"/>
      <c r="B3938" s="224"/>
      <c r="C3938" s="36" t="s">
        <v>1256</v>
      </c>
      <c r="D3938" s="47" t="s">
        <v>292</v>
      </c>
      <c r="E3938" s="37">
        <v>1</v>
      </c>
      <c r="F3938" s="54">
        <v>21.598499999999998</v>
      </c>
      <c r="G3938" s="54">
        <f t="shared" si="66"/>
        <v>21.598499999999998</v>
      </c>
      <c r="H3938" s="39">
        <f>SUM(G3938:G3943)</f>
        <v>27.525617999999998</v>
      </c>
      <c r="I3938" s="40"/>
      <c r="J3938" s="155">
        <v>0</v>
      </c>
    </row>
    <row r="3939" spans="1:10" ht="27" hidden="1" thickBot="1" x14ac:dyDescent="0.35">
      <c r="A3939" s="227"/>
      <c r="B3939" s="224"/>
      <c r="C3939" s="36" t="s">
        <v>1248</v>
      </c>
      <c r="D3939" s="47" t="s">
        <v>292</v>
      </c>
      <c r="E3939" s="37">
        <v>8.3999999999999995E-3</v>
      </c>
      <c r="F3939" s="54">
        <v>256.84449999999998</v>
      </c>
      <c r="G3939" s="54">
        <f t="shared" si="66"/>
        <v>2.1574937999999997</v>
      </c>
      <c r="H3939" s="73"/>
      <c r="I3939" s="74"/>
      <c r="J3939" s="155">
        <v>0</v>
      </c>
    </row>
    <row r="3940" spans="1:10" ht="15" hidden="1" thickBot="1" x14ac:dyDescent="0.35">
      <c r="A3940" s="227"/>
      <c r="B3940" s="224"/>
      <c r="C3940" s="36" t="s">
        <v>1249</v>
      </c>
      <c r="D3940" s="36" t="s">
        <v>292</v>
      </c>
      <c r="E3940" s="37">
        <v>5.9400000000000001E-2</v>
      </c>
      <c r="F3940" s="54">
        <v>1.87</v>
      </c>
      <c r="G3940" s="54">
        <f t="shared" si="66"/>
        <v>0.11107800000000001</v>
      </c>
      <c r="H3940" s="73"/>
      <c r="I3940" s="74"/>
      <c r="J3940" s="155">
        <v>0</v>
      </c>
    </row>
    <row r="3941" spans="1:10" ht="27" hidden="1" thickBot="1" x14ac:dyDescent="0.35">
      <c r="A3941" s="227"/>
      <c r="B3941" s="224"/>
      <c r="C3941" s="36" t="s">
        <v>1250</v>
      </c>
      <c r="D3941" s="36" t="s">
        <v>292</v>
      </c>
      <c r="E3941" s="37">
        <v>1.0800000000000001E-2</v>
      </c>
      <c r="F3941" s="54">
        <v>47.081499999999998</v>
      </c>
      <c r="G3941" s="54">
        <f t="shared" si="66"/>
        <v>0.50848020000000005</v>
      </c>
      <c r="H3941" s="73"/>
      <c r="I3941" s="74"/>
      <c r="J3941" s="155">
        <v>0</v>
      </c>
    </row>
    <row r="3942" spans="1:10" ht="27" hidden="1" thickBot="1" x14ac:dyDescent="0.35">
      <c r="A3942" s="227"/>
      <c r="B3942" s="224"/>
      <c r="C3942" s="36" t="s">
        <v>994</v>
      </c>
      <c r="D3942" s="36" t="s">
        <v>744</v>
      </c>
      <c r="E3942" s="37">
        <v>8.8999999999999996E-2</v>
      </c>
      <c r="F3942" s="54">
        <v>15.4955</v>
      </c>
      <c r="G3942" s="54">
        <f t="shared" si="66"/>
        <v>1.3790994999999999</v>
      </c>
      <c r="H3942" s="73"/>
      <c r="I3942" s="74"/>
      <c r="J3942" s="155">
        <v>0</v>
      </c>
    </row>
    <row r="3943" spans="1:10" ht="27" hidden="1" thickBot="1" x14ac:dyDescent="0.35">
      <c r="A3943" s="227"/>
      <c r="B3943" s="224"/>
      <c r="C3943" s="36" t="s">
        <v>995</v>
      </c>
      <c r="D3943" s="36" t="s">
        <v>744</v>
      </c>
      <c r="E3943" s="37">
        <v>8.8999999999999996E-2</v>
      </c>
      <c r="F3943" s="54">
        <v>19.898499999999999</v>
      </c>
      <c r="G3943" s="54">
        <f t="shared" si="66"/>
        <v>1.7709664999999999</v>
      </c>
      <c r="H3943" s="73"/>
      <c r="I3943" s="74"/>
      <c r="J3943" s="155">
        <v>0</v>
      </c>
    </row>
    <row r="3944" spans="1:10" ht="15" hidden="1" thickBot="1" x14ac:dyDescent="0.35">
      <c r="A3944" s="228"/>
      <c r="B3944" s="225"/>
      <c r="C3944" s="55"/>
      <c r="D3944" s="55"/>
      <c r="E3944" s="66"/>
      <c r="F3944" s="76" t="s">
        <v>560</v>
      </c>
      <c r="G3944" s="76" t="str">
        <f t="shared" si="66"/>
        <v/>
      </c>
      <c r="H3944" s="77"/>
      <c r="I3944" s="74"/>
      <c r="J3944" s="155">
        <v>0</v>
      </c>
    </row>
    <row r="3945" spans="1:10" ht="15" hidden="1" thickBot="1" x14ac:dyDescent="0.35">
      <c r="A3945" s="226" t="s">
        <v>1257</v>
      </c>
      <c r="B3945" s="223" t="e">
        <f>INDEX(#REF!,MATCH(Composições!A3945,#REF!,0),2)</f>
        <v>#REF!</v>
      </c>
      <c r="C3945" s="41"/>
      <c r="D3945" s="26" t="e">
        <f>TRIM(INDEX(#REF!,MATCH(Composições!A3945,#REF!,0),1))</f>
        <v>#REF!</v>
      </c>
      <c r="E3945" s="27"/>
      <c r="F3945" s="49" t="s">
        <v>560</v>
      </c>
      <c r="G3945" s="28" t="str">
        <f t="shared" si="66"/>
        <v/>
      </c>
      <c r="H3945" s="29"/>
      <c r="I3945" s="30"/>
      <c r="J3945" s="155">
        <v>0</v>
      </c>
    </row>
    <row r="3946" spans="1:10" ht="15" hidden="1" thickBot="1" x14ac:dyDescent="0.35">
      <c r="A3946" s="227"/>
      <c r="B3946" s="224"/>
      <c r="C3946" s="32"/>
      <c r="D3946" s="32"/>
      <c r="E3946" s="33"/>
      <c r="F3946" s="54" t="s">
        <v>560</v>
      </c>
      <c r="G3946" s="54" t="str">
        <f t="shared" si="66"/>
        <v/>
      </c>
      <c r="H3946" s="73"/>
      <c r="I3946" s="74"/>
      <c r="J3946" s="155">
        <v>0</v>
      </c>
    </row>
    <row r="3947" spans="1:10" ht="27" hidden="1" thickBot="1" x14ac:dyDescent="0.35">
      <c r="A3947" s="227"/>
      <c r="B3947" s="224"/>
      <c r="C3947" s="36" t="s">
        <v>1258</v>
      </c>
      <c r="D3947" s="47" t="s">
        <v>292</v>
      </c>
      <c r="E3947" s="37">
        <v>1</v>
      </c>
      <c r="F3947" s="54">
        <v>27.395499999999995</v>
      </c>
      <c r="G3947" s="54">
        <f t="shared" si="66"/>
        <v>27.395499999999995</v>
      </c>
      <c r="H3947" s="39">
        <f>SUM(G3947:G3952)</f>
        <v>36.769302549999985</v>
      </c>
      <c r="I3947" s="40"/>
      <c r="J3947" s="155">
        <v>0</v>
      </c>
    </row>
    <row r="3948" spans="1:10" ht="27" hidden="1" thickBot="1" x14ac:dyDescent="0.35">
      <c r="A3948" s="227"/>
      <c r="B3948" s="224"/>
      <c r="C3948" s="36" t="s">
        <v>1248</v>
      </c>
      <c r="D3948" s="47" t="s">
        <v>292</v>
      </c>
      <c r="E3948" s="37">
        <v>1.7600000000000001E-2</v>
      </c>
      <c r="F3948" s="54">
        <v>256.84449999999998</v>
      </c>
      <c r="G3948" s="54">
        <f t="shared" si="66"/>
        <v>4.5204632</v>
      </c>
      <c r="H3948" s="73"/>
      <c r="I3948" s="74"/>
      <c r="J3948" s="155">
        <v>0</v>
      </c>
    </row>
    <row r="3949" spans="1:10" ht="15" hidden="1" thickBot="1" x14ac:dyDescent="0.35">
      <c r="A3949" s="227"/>
      <c r="B3949" s="224"/>
      <c r="C3949" s="36" t="s">
        <v>1249</v>
      </c>
      <c r="D3949" s="36" t="s">
        <v>292</v>
      </c>
      <c r="E3949" s="37">
        <v>6.93E-2</v>
      </c>
      <c r="F3949" s="54">
        <v>1.87</v>
      </c>
      <c r="G3949" s="54">
        <f t="shared" si="66"/>
        <v>0.12959100000000001</v>
      </c>
      <c r="H3949" s="73"/>
      <c r="I3949" s="74"/>
      <c r="J3949" s="155">
        <v>0</v>
      </c>
    </row>
    <row r="3950" spans="1:10" ht="27" hidden="1" thickBot="1" x14ac:dyDescent="0.35">
      <c r="A3950" s="227"/>
      <c r="B3950" s="224"/>
      <c r="C3950" s="36" t="s">
        <v>1250</v>
      </c>
      <c r="D3950" s="36" t="s">
        <v>292</v>
      </c>
      <c r="E3950" s="37">
        <v>2.29E-2</v>
      </c>
      <c r="F3950" s="54">
        <v>47.081499999999998</v>
      </c>
      <c r="G3950" s="54">
        <f t="shared" si="66"/>
        <v>1.0781663500000001</v>
      </c>
      <c r="H3950" s="73"/>
      <c r="I3950" s="74"/>
      <c r="J3950" s="155">
        <v>0</v>
      </c>
    </row>
    <row r="3951" spans="1:10" ht="27" hidden="1" thickBot="1" x14ac:dyDescent="0.35">
      <c r="A3951" s="227"/>
      <c r="B3951" s="224"/>
      <c r="C3951" s="36" t="s">
        <v>994</v>
      </c>
      <c r="D3951" s="36" t="s">
        <v>744</v>
      </c>
      <c r="E3951" s="37">
        <v>0.10299999999999999</v>
      </c>
      <c r="F3951" s="54">
        <v>15.4955</v>
      </c>
      <c r="G3951" s="54">
        <f t="shared" si="66"/>
        <v>1.5960364999999999</v>
      </c>
      <c r="H3951" s="73"/>
      <c r="I3951" s="74"/>
      <c r="J3951" s="155">
        <v>0</v>
      </c>
    </row>
    <row r="3952" spans="1:10" ht="27" hidden="1" thickBot="1" x14ac:dyDescent="0.35">
      <c r="A3952" s="227"/>
      <c r="B3952" s="224"/>
      <c r="C3952" s="36" t="s">
        <v>995</v>
      </c>
      <c r="D3952" s="36" t="s">
        <v>744</v>
      </c>
      <c r="E3952" s="37">
        <v>0.10299999999999999</v>
      </c>
      <c r="F3952" s="54">
        <v>19.898499999999999</v>
      </c>
      <c r="G3952" s="54">
        <f t="shared" si="66"/>
        <v>2.0495454999999998</v>
      </c>
      <c r="H3952" s="73"/>
      <c r="I3952" s="74"/>
      <c r="J3952" s="155">
        <v>0</v>
      </c>
    </row>
    <row r="3953" spans="1:10" ht="15" hidden="1" thickBot="1" x14ac:dyDescent="0.35">
      <c r="A3953" s="228"/>
      <c r="B3953" s="225"/>
      <c r="C3953" s="55"/>
      <c r="D3953" s="55"/>
      <c r="E3953" s="66"/>
      <c r="F3953" s="76" t="s">
        <v>560</v>
      </c>
      <c r="G3953" s="76" t="str">
        <f t="shared" si="66"/>
        <v/>
      </c>
      <c r="H3953" s="77"/>
      <c r="I3953" s="74"/>
      <c r="J3953" s="155">
        <v>0</v>
      </c>
    </row>
    <row r="3954" spans="1:10" ht="15" hidden="1" thickBot="1" x14ac:dyDescent="0.35">
      <c r="A3954" s="226" t="s">
        <v>1259</v>
      </c>
      <c r="B3954" s="223" t="e">
        <f>INDEX(#REF!,MATCH(Composições!A3954,#REF!,0),2)</f>
        <v>#REF!</v>
      </c>
      <c r="C3954" s="41"/>
      <c r="D3954" s="26" t="e">
        <f>TRIM(INDEX(#REF!,MATCH(Composições!A3954,#REF!,0),1))</f>
        <v>#REF!</v>
      </c>
      <c r="E3954" s="27"/>
      <c r="F3954" s="49" t="s">
        <v>560</v>
      </c>
      <c r="G3954" s="28" t="str">
        <f t="shared" si="66"/>
        <v/>
      </c>
      <c r="H3954" s="29"/>
      <c r="I3954" s="30"/>
      <c r="J3954" s="155">
        <v>0</v>
      </c>
    </row>
    <row r="3955" spans="1:10" ht="15" hidden="1" thickBot="1" x14ac:dyDescent="0.35">
      <c r="A3955" s="227"/>
      <c r="B3955" s="224"/>
      <c r="C3955" s="32"/>
      <c r="D3955" s="32"/>
      <c r="E3955" s="33"/>
      <c r="F3955" s="54" t="s">
        <v>560</v>
      </c>
      <c r="G3955" s="54" t="str">
        <f t="shared" si="66"/>
        <v/>
      </c>
      <c r="H3955" s="73"/>
      <c r="I3955" s="74"/>
      <c r="J3955" s="155">
        <v>0</v>
      </c>
    </row>
    <row r="3956" spans="1:10" ht="27" hidden="1" thickBot="1" x14ac:dyDescent="0.35">
      <c r="A3956" s="227"/>
      <c r="B3956" s="224"/>
      <c r="C3956" s="36" t="s">
        <v>1260</v>
      </c>
      <c r="D3956" s="47" t="s">
        <v>292</v>
      </c>
      <c r="E3956" s="37">
        <v>1</v>
      </c>
      <c r="F3956" s="54">
        <v>4.8790000000000004</v>
      </c>
      <c r="G3956" s="54">
        <f t="shared" si="66"/>
        <v>4.8790000000000004</v>
      </c>
      <c r="H3956" s="39">
        <f>SUM(G3956:G3961)</f>
        <v>8.7544670499999988</v>
      </c>
      <c r="I3956" s="40"/>
      <c r="J3956" s="155">
        <v>0</v>
      </c>
    </row>
    <row r="3957" spans="1:10" ht="27" hidden="1" thickBot="1" x14ac:dyDescent="0.35">
      <c r="A3957" s="227"/>
      <c r="B3957" s="224"/>
      <c r="C3957" s="36" t="s">
        <v>1248</v>
      </c>
      <c r="D3957" s="47" t="s">
        <v>292</v>
      </c>
      <c r="E3957" s="37">
        <v>4.7999999999999996E-3</v>
      </c>
      <c r="F3957" s="54">
        <v>256.84449999999998</v>
      </c>
      <c r="G3957" s="54">
        <f t="shared" si="66"/>
        <v>1.2328535999999999</v>
      </c>
      <c r="H3957" s="73"/>
      <c r="I3957" s="74"/>
      <c r="J3957" s="155">
        <v>0</v>
      </c>
    </row>
    <row r="3958" spans="1:10" ht="15" hidden="1" thickBot="1" x14ac:dyDescent="0.35">
      <c r="A3958" s="227"/>
      <c r="B3958" s="224"/>
      <c r="C3958" s="36" t="s">
        <v>1249</v>
      </c>
      <c r="D3958" s="36" t="s">
        <v>292</v>
      </c>
      <c r="E3958" s="37">
        <v>4.3200000000000002E-2</v>
      </c>
      <c r="F3958" s="54">
        <v>1.87</v>
      </c>
      <c r="G3958" s="54">
        <f t="shared" si="66"/>
        <v>8.0784000000000009E-2</v>
      </c>
      <c r="H3958" s="73"/>
      <c r="I3958" s="74"/>
      <c r="J3958" s="155">
        <v>0</v>
      </c>
    </row>
    <row r="3959" spans="1:10" ht="27" hidden="1" thickBot="1" x14ac:dyDescent="0.35">
      <c r="A3959" s="227"/>
      <c r="B3959" s="224"/>
      <c r="C3959" s="36" t="s">
        <v>1250</v>
      </c>
      <c r="D3959" s="36" t="s">
        <v>292</v>
      </c>
      <c r="E3959" s="37">
        <v>6.3E-3</v>
      </c>
      <c r="F3959" s="54">
        <v>47.081499999999998</v>
      </c>
      <c r="G3959" s="54">
        <f t="shared" si="66"/>
        <v>0.29661345</v>
      </c>
      <c r="H3959" s="73"/>
      <c r="I3959" s="74"/>
      <c r="J3959" s="155">
        <v>0</v>
      </c>
    </row>
    <row r="3960" spans="1:10" ht="27" hidden="1" thickBot="1" x14ac:dyDescent="0.35">
      <c r="A3960" s="227"/>
      <c r="B3960" s="224"/>
      <c r="C3960" s="36" t="s">
        <v>994</v>
      </c>
      <c r="D3960" s="36" t="s">
        <v>744</v>
      </c>
      <c r="E3960" s="37">
        <v>6.4000000000000001E-2</v>
      </c>
      <c r="F3960" s="54">
        <v>15.4955</v>
      </c>
      <c r="G3960" s="54">
        <f t="shared" si="66"/>
        <v>0.99171200000000004</v>
      </c>
      <c r="H3960" s="73"/>
      <c r="I3960" s="74"/>
      <c r="J3960" s="155">
        <v>0</v>
      </c>
    </row>
    <row r="3961" spans="1:10" ht="27" hidden="1" thickBot="1" x14ac:dyDescent="0.35">
      <c r="A3961" s="227"/>
      <c r="B3961" s="224"/>
      <c r="C3961" s="36" t="s">
        <v>995</v>
      </c>
      <c r="D3961" s="36" t="s">
        <v>744</v>
      </c>
      <c r="E3961" s="37">
        <v>6.4000000000000001E-2</v>
      </c>
      <c r="F3961" s="54">
        <v>19.898499999999999</v>
      </c>
      <c r="G3961" s="54">
        <f t="shared" si="66"/>
        <v>1.273504</v>
      </c>
      <c r="H3961" s="73"/>
      <c r="I3961" s="74"/>
      <c r="J3961" s="155">
        <v>0</v>
      </c>
    </row>
    <row r="3962" spans="1:10" ht="15" hidden="1" thickBot="1" x14ac:dyDescent="0.35">
      <c r="A3962" s="228"/>
      <c r="B3962" s="225"/>
      <c r="C3962" s="55"/>
      <c r="D3962" s="55"/>
      <c r="E3962" s="66"/>
      <c r="F3962" s="76" t="s">
        <v>560</v>
      </c>
      <c r="G3962" s="76" t="str">
        <f t="shared" si="66"/>
        <v/>
      </c>
      <c r="H3962" s="77"/>
      <c r="I3962" s="74"/>
      <c r="J3962" s="155">
        <v>0</v>
      </c>
    </row>
    <row r="3963" spans="1:10" ht="15" hidden="1" thickBot="1" x14ac:dyDescent="0.35">
      <c r="A3963" s="226" t="s">
        <v>1261</v>
      </c>
      <c r="B3963" s="223" t="e">
        <f>INDEX(#REF!,MATCH(Composições!A3963,#REF!,0),2)</f>
        <v>#REF!</v>
      </c>
      <c r="C3963" s="41"/>
      <c r="D3963" s="26" t="e">
        <f>TRIM(INDEX(#REF!,MATCH(Composições!A3963,#REF!,0),1))</f>
        <v>#REF!</v>
      </c>
      <c r="E3963" s="27"/>
      <c r="F3963" s="49" t="s">
        <v>560</v>
      </c>
      <c r="G3963" s="28" t="str">
        <f t="shared" si="66"/>
        <v/>
      </c>
      <c r="H3963" s="29"/>
      <c r="I3963" s="30"/>
      <c r="J3963" s="155">
        <v>0</v>
      </c>
    </row>
    <row r="3964" spans="1:10" ht="15" hidden="1" thickBot="1" x14ac:dyDescent="0.35">
      <c r="A3964" s="227"/>
      <c r="B3964" s="224"/>
      <c r="C3964" s="32"/>
      <c r="D3964" s="32"/>
      <c r="E3964" s="33"/>
      <c r="F3964" s="54" t="s">
        <v>560</v>
      </c>
      <c r="G3964" s="54" t="str">
        <f t="shared" si="66"/>
        <v/>
      </c>
      <c r="H3964" s="73"/>
      <c r="I3964" s="74"/>
      <c r="J3964" s="155">
        <v>0</v>
      </c>
    </row>
    <row r="3965" spans="1:10" ht="40.200000000000003" hidden="1" thickBot="1" x14ac:dyDescent="0.35">
      <c r="A3965" s="227"/>
      <c r="B3965" s="224"/>
      <c r="C3965" s="36" t="s">
        <v>1262</v>
      </c>
      <c r="D3965" s="36" t="s">
        <v>515</v>
      </c>
      <c r="E3965" s="37">
        <v>1.0210999999999999</v>
      </c>
      <c r="F3965" s="54">
        <v>130.75550000000001</v>
      </c>
      <c r="G3965" s="54">
        <f t="shared" si="66"/>
        <v>133.51444104999999</v>
      </c>
      <c r="H3965" s="39">
        <f>SUM(G3965:G3967)</f>
        <v>135.85044504999999</v>
      </c>
      <c r="I3965" s="40"/>
      <c r="J3965" s="155">
        <v>0</v>
      </c>
    </row>
    <row r="3966" spans="1:10" ht="27" hidden="1" thickBot="1" x14ac:dyDescent="0.35">
      <c r="A3966" s="227"/>
      <c r="B3966" s="224"/>
      <c r="C3966" s="36" t="s">
        <v>994</v>
      </c>
      <c r="D3966" s="36" t="s">
        <v>744</v>
      </c>
      <c r="E3966" s="37">
        <v>6.6000000000000003E-2</v>
      </c>
      <c r="F3966" s="54">
        <v>15.4955</v>
      </c>
      <c r="G3966" s="54">
        <f t="shared" si="66"/>
        <v>1.0227030000000001</v>
      </c>
      <c r="H3966" s="73"/>
      <c r="I3966" s="74"/>
      <c r="J3966" s="155">
        <v>0</v>
      </c>
    </row>
    <row r="3967" spans="1:10" ht="27" hidden="1" thickBot="1" x14ac:dyDescent="0.35">
      <c r="A3967" s="227"/>
      <c r="B3967" s="224"/>
      <c r="C3967" s="36" t="s">
        <v>995</v>
      </c>
      <c r="D3967" s="36" t="s">
        <v>744</v>
      </c>
      <c r="E3967" s="37">
        <v>6.6000000000000003E-2</v>
      </c>
      <c r="F3967" s="54">
        <v>19.898499999999999</v>
      </c>
      <c r="G3967" s="54">
        <f t="shared" si="66"/>
        <v>1.3133010000000001</v>
      </c>
      <c r="H3967" s="73"/>
      <c r="I3967" s="74"/>
      <c r="J3967" s="155">
        <v>0</v>
      </c>
    </row>
    <row r="3968" spans="1:10" ht="15" hidden="1" thickBot="1" x14ac:dyDescent="0.35">
      <c r="A3968" s="227"/>
      <c r="B3968" s="224"/>
      <c r="C3968" s="55"/>
      <c r="D3968" s="55"/>
      <c r="E3968" s="66"/>
      <c r="F3968" s="76" t="s">
        <v>560</v>
      </c>
      <c r="G3968" s="76" t="str">
        <f t="shared" si="66"/>
        <v/>
      </c>
      <c r="H3968" s="77"/>
      <c r="I3968" s="74"/>
      <c r="J3968" s="155">
        <v>0</v>
      </c>
    </row>
    <row r="3969" spans="1:10" ht="15" hidden="1" thickBot="1" x14ac:dyDescent="0.35">
      <c r="A3969" s="226" t="s">
        <v>1263</v>
      </c>
      <c r="B3969" s="223" t="e">
        <f>INDEX(#REF!,MATCH(Composições!A3969,#REF!,0),2)</f>
        <v>#REF!</v>
      </c>
      <c r="C3969" s="41"/>
      <c r="D3969" s="26" t="e">
        <f>TRIM(INDEX(#REF!,MATCH(Composições!A3969,#REF!,0),1))</f>
        <v>#REF!</v>
      </c>
      <c r="E3969" s="27"/>
      <c r="F3969" s="49" t="s">
        <v>560</v>
      </c>
      <c r="G3969" s="28" t="str">
        <f t="shared" ref="G3969:G4032" si="67">IF(ISNUMBER(F3969),E3969*F3969,"")</f>
        <v/>
      </c>
      <c r="H3969" s="29"/>
      <c r="I3969" s="30"/>
      <c r="J3969" s="155">
        <v>0</v>
      </c>
    </row>
    <row r="3970" spans="1:10" ht="15" hidden="1" thickBot="1" x14ac:dyDescent="0.35">
      <c r="A3970" s="227"/>
      <c r="B3970" s="224"/>
      <c r="C3970" s="32"/>
      <c r="D3970" s="32"/>
      <c r="E3970" s="33"/>
      <c r="F3970" s="54" t="s">
        <v>560</v>
      </c>
      <c r="G3970" s="54" t="str">
        <f t="shared" si="67"/>
        <v/>
      </c>
      <c r="H3970" s="73"/>
      <c r="I3970" s="74"/>
      <c r="J3970" s="155">
        <v>0</v>
      </c>
    </row>
    <row r="3971" spans="1:10" ht="40.200000000000003" hidden="1" thickBot="1" x14ac:dyDescent="0.35">
      <c r="A3971" s="227"/>
      <c r="B3971" s="224"/>
      <c r="C3971" s="36" t="s">
        <v>1264</v>
      </c>
      <c r="D3971" s="36" t="s">
        <v>515</v>
      </c>
      <c r="E3971" s="37">
        <v>1.0210999999999999</v>
      </c>
      <c r="F3971" s="54">
        <v>157.31800000000001</v>
      </c>
      <c r="G3971" s="54">
        <f t="shared" si="67"/>
        <v>160.6374098</v>
      </c>
      <c r="H3971" s="39">
        <f>SUM(G3971:G3973)</f>
        <v>163.3273538</v>
      </c>
      <c r="I3971" s="40"/>
      <c r="J3971" s="155">
        <v>0</v>
      </c>
    </row>
    <row r="3972" spans="1:10" ht="27" hidden="1" thickBot="1" x14ac:dyDescent="0.35">
      <c r="A3972" s="227"/>
      <c r="B3972" s="224"/>
      <c r="C3972" s="36" t="s">
        <v>994</v>
      </c>
      <c r="D3972" s="36" t="s">
        <v>744</v>
      </c>
      <c r="E3972" s="37">
        <v>7.5999999999999998E-2</v>
      </c>
      <c r="F3972" s="54">
        <v>15.4955</v>
      </c>
      <c r="G3972" s="54">
        <f t="shared" si="67"/>
        <v>1.1776579999999999</v>
      </c>
      <c r="H3972" s="73"/>
      <c r="I3972" s="74"/>
      <c r="J3972" s="155">
        <v>0</v>
      </c>
    </row>
    <row r="3973" spans="1:10" ht="27" hidden="1" thickBot="1" x14ac:dyDescent="0.35">
      <c r="A3973" s="227"/>
      <c r="B3973" s="224"/>
      <c r="C3973" s="36" t="s">
        <v>995</v>
      </c>
      <c r="D3973" s="36" t="s">
        <v>744</v>
      </c>
      <c r="E3973" s="37">
        <v>7.5999999999999998E-2</v>
      </c>
      <c r="F3973" s="54">
        <v>19.898499999999999</v>
      </c>
      <c r="G3973" s="54">
        <f t="shared" si="67"/>
        <v>1.5122859999999998</v>
      </c>
      <c r="H3973" s="73"/>
      <c r="I3973" s="74"/>
      <c r="J3973" s="155">
        <v>0</v>
      </c>
    </row>
    <row r="3974" spans="1:10" ht="15" hidden="1" thickBot="1" x14ac:dyDescent="0.35">
      <c r="A3974" s="227"/>
      <c r="B3974" s="224"/>
      <c r="C3974" s="55"/>
      <c r="D3974" s="55"/>
      <c r="E3974" s="66"/>
      <c r="F3974" s="76" t="s">
        <v>560</v>
      </c>
      <c r="G3974" s="76" t="str">
        <f t="shared" si="67"/>
        <v/>
      </c>
      <c r="H3974" s="77"/>
      <c r="I3974" s="74"/>
      <c r="J3974" s="155">
        <v>0</v>
      </c>
    </row>
    <row r="3975" spans="1:10" ht="15" hidden="1" thickBot="1" x14ac:dyDescent="0.35">
      <c r="A3975" s="226" t="s">
        <v>1265</v>
      </c>
      <c r="B3975" s="223" t="e">
        <f>INDEX(#REF!,MATCH(Composições!A3975,#REF!,0),2)</f>
        <v>#REF!</v>
      </c>
      <c r="C3975" s="41"/>
      <c r="D3975" s="26" t="e">
        <f>TRIM(INDEX(#REF!,MATCH(Composições!A3975,#REF!,0),1))</f>
        <v>#REF!</v>
      </c>
      <c r="E3975" s="27"/>
      <c r="F3975" s="49" t="s">
        <v>560</v>
      </c>
      <c r="G3975" s="28" t="str">
        <f t="shared" si="67"/>
        <v/>
      </c>
      <c r="H3975" s="29"/>
      <c r="I3975" s="30"/>
      <c r="J3975" s="155">
        <v>0</v>
      </c>
    </row>
    <row r="3976" spans="1:10" ht="15" hidden="1" thickBot="1" x14ac:dyDescent="0.35">
      <c r="A3976" s="227"/>
      <c r="B3976" s="224"/>
      <c r="C3976" s="32"/>
      <c r="D3976" s="32"/>
      <c r="E3976" s="33"/>
      <c r="F3976" s="54" t="s">
        <v>560</v>
      </c>
      <c r="G3976" s="54" t="str">
        <f t="shared" si="67"/>
        <v/>
      </c>
      <c r="H3976" s="73"/>
      <c r="I3976" s="74"/>
      <c r="J3976" s="155">
        <v>0</v>
      </c>
    </row>
    <row r="3977" spans="1:10" ht="40.200000000000003" hidden="1" thickBot="1" x14ac:dyDescent="0.35">
      <c r="A3977" s="227"/>
      <c r="B3977" s="224"/>
      <c r="C3977" s="36" t="s">
        <v>1266</v>
      </c>
      <c r="D3977" s="47" t="s">
        <v>515</v>
      </c>
      <c r="E3977" s="37">
        <v>1.1000000000000001</v>
      </c>
      <c r="F3977" s="54">
        <v>23.1965</v>
      </c>
      <c r="G3977" s="54">
        <f t="shared" si="67"/>
        <v>25.516150000000003</v>
      </c>
      <c r="H3977" s="39">
        <f>SUM(G3977:G3980)</f>
        <v>30.331153500000003</v>
      </c>
      <c r="I3977" s="40"/>
      <c r="J3977" s="155">
        <v>0</v>
      </c>
    </row>
    <row r="3978" spans="1:10" ht="27" hidden="1" thickBot="1" x14ac:dyDescent="0.35">
      <c r="A3978" s="227"/>
      <c r="B3978" s="224"/>
      <c r="C3978" s="36" t="s">
        <v>1912</v>
      </c>
      <c r="D3978" s="47" t="s">
        <v>939</v>
      </c>
      <c r="E3978" s="37">
        <v>2.3E-3</v>
      </c>
      <c r="F3978" s="54">
        <v>19.465</v>
      </c>
      <c r="G3978" s="54">
        <f t="shared" si="67"/>
        <v>4.4769499999999997E-2</v>
      </c>
      <c r="H3978" s="73"/>
      <c r="I3978" s="74"/>
      <c r="J3978" s="155">
        <v>0</v>
      </c>
    </row>
    <row r="3979" spans="1:10" ht="15" hidden="1" thickBot="1" x14ac:dyDescent="0.35">
      <c r="A3979" s="227"/>
      <c r="B3979" s="224"/>
      <c r="C3979" s="36" t="s">
        <v>1214</v>
      </c>
      <c r="D3979" s="36" t="s">
        <v>744</v>
      </c>
      <c r="E3979" s="37">
        <v>0.13100000000000001</v>
      </c>
      <c r="F3979" s="54">
        <v>15.928999999999998</v>
      </c>
      <c r="G3979" s="54">
        <f t="shared" si="67"/>
        <v>2.0866989999999999</v>
      </c>
      <c r="H3979" s="73"/>
      <c r="I3979" s="74"/>
      <c r="J3979" s="155">
        <v>0</v>
      </c>
    </row>
    <row r="3980" spans="1:10" ht="15" hidden="1" thickBot="1" x14ac:dyDescent="0.35">
      <c r="A3980" s="227"/>
      <c r="B3980" s="224"/>
      <c r="C3980" s="36" t="s">
        <v>1215</v>
      </c>
      <c r="D3980" s="36" t="s">
        <v>744</v>
      </c>
      <c r="E3980" s="37">
        <v>0.13100000000000001</v>
      </c>
      <c r="F3980" s="54">
        <v>20.484999999999999</v>
      </c>
      <c r="G3980" s="54">
        <f t="shared" si="67"/>
        <v>2.683535</v>
      </c>
      <c r="H3980" s="73"/>
      <c r="I3980" s="74"/>
      <c r="J3980" s="155">
        <v>0</v>
      </c>
    </row>
    <row r="3981" spans="1:10" ht="15" hidden="1" thickBot="1" x14ac:dyDescent="0.35">
      <c r="A3981" s="227"/>
      <c r="B3981" s="224"/>
      <c r="C3981" s="55"/>
      <c r="D3981" s="55"/>
      <c r="E3981" s="66"/>
      <c r="F3981" s="76" t="s">
        <v>560</v>
      </c>
      <c r="G3981" s="76" t="str">
        <f t="shared" si="67"/>
        <v/>
      </c>
      <c r="H3981" s="77"/>
      <c r="I3981" s="74"/>
      <c r="J3981" s="155">
        <v>0</v>
      </c>
    </row>
    <row r="3982" spans="1:10" ht="15" hidden="1" thickBot="1" x14ac:dyDescent="0.35">
      <c r="A3982" s="226" t="s">
        <v>1267</v>
      </c>
      <c r="B3982" s="223" t="e">
        <f>INDEX(#REF!,MATCH(Composições!A3982,#REF!,0),2)</f>
        <v>#REF!</v>
      </c>
      <c r="C3982" s="41"/>
      <c r="D3982" s="26" t="e">
        <f>TRIM(INDEX(#REF!,MATCH(Composições!A3982,#REF!,0),1))</f>
        <v>#REF!</v>
      </c>
      <c r="E3982" s="27"/>
      <c r="F3982" s="49" t="s">
        <v>560</v>
      </c>
      <c r="G3982" s="28" t="str">
        <f t="shared" si="67"/>
        <v/>
      </c>
      <c r="H3982" s="29"/>
      <c r="I3982" s="30"/>
      <c r="J3982" s="155">
        <v>0</v>
      </c>
    </row>
    <row r="3983" spans="1:10" ht="15" hidden="1" thickBot="1" x14ac:dyDescent="0.35">
      <c r="A3983" s="227"/>
      <c r="B3983" s="224"/>
      <c r="C3983" s="32"/>
      <c r="D3983" s="32"/>
      <c r="E3983" s="33"/>
      <c r="F3983" s="54" t="s">
        <v>560</v>
      </c>
      <c r="G3983" s="54" t="str">
        <f t="shared" si="67"/>
        <v/>
      </c>
      <c r="H3983" s="73"/>
      <c r="I3983" s="74"/>
      <c r="J3983" s="155">
        <v>0</v>
      </c>
    </row>
    <row r="3984" spans="1:10" ht="15" hidden="1" thickBot="1" x14ac:dyDescent="0.35">
      <c r="A3984" s="227"/>
      <c r="B3984" s="224"/>
      <c r="C3984" s="36" t="s">
        <v>1268</v>
      </c>
      <c r="D3984" s="47" t="s">
        <v>12</v>
      </c>
      <c r="E3984" s="37">
        <f>ROUND(1/(1+72.54%),2)</f>
        <v>0.57999999999999996</v>
      </c>
      <c r="F3984" s="54">
        <v>2752.9884999999999</v>
      </c>
      <c r="G3984" s="54">
        <f t="shared" si="67"/>
        <v>1596.7333299999998</v>
      </c>
      <c r="H3984" s="39">
        <f>SUM(G3984:G3984)</f>
        <v>1596.7333299999998</v>
      </c>
      <c r="I3984" s="40"/>
      <c r="J3984" s="155">
        <v>0</v>
      </c>
    </row>
    <row r="3985" spans="1:10" ht="15" hidden="1" thickBot="1" x14ac:dyDescent="0.35">
      <c r="A3985" s="227"/>
      <c r="B3985" s="224"/>
      <c r="C3985" s="36"/>
      <c r="D3985" s="47"/>
      <c r="E3985" s="37"/>
      <c r="F3985" s="54" t="s">
        <v>560</v>
      </c>
      <c r="G3985" s="54" t="str">
        <f t="shared" si="67"/>
        <v/>
      </c>
      <c r="H3985" s="73"/>
      <c r="I3985" s="74"/>
      <c r="J3985" s="155">
        <v>0</v>
      </c>
    </row>
    <row r="3986" spans="1:10" ht="27" hidden="1" thickBot="1" x14ac:dyDescent="0.35">
      <c r="A3986" s="227"/>
      <c r="B3986" s="224"/>
      <c r="C3986" s="48" t="s">
        <v>822</v>
      </c>
      <c r="D3986" s="47"/>
      <c r="E3986" s="37"/>
      <c r="F3986" s="54" t="s">
        <v>560</v>
      </c>
      <c r="G3986" s="54" t="str">
        <f t="shared" si="67"/>
        <v/>
      </c>
      <c r="H3986" s="73"/>
      <c r="I3986" s="74"/>
      <c r="J3986" s="155">
        <v>0</v>
      </c>
    </row>
    <row r="3987" spans="1:10" ht="15" hidden="1" thickBot="1" x14ac:dyDescent="0.35">
      <c r="A3987" s="227"/>
      <c r="B3987" s="224"/>
      <c r="C3987" s="55"/>
      <c r="D3987" s="55"/>
      <c r="E3987" s="66"/>
      <c r="F3987" s="76" t="s">
        <v>560</v>
      </c>
      <c r="G3987" s="76" t="str">
        <f t="shared" si="67"/>
        <v/>
      </c>
      <c r="H3987" s="77"/>
      <c r="I3987" s="74"/>
      <c r="J3987" s="155">
        <v>0</v>
      </c>
    </row>
    <row r="3988" spans="1:10" ht="15" hidden="1" thickBot="1" x14ac:dyDescent="0.35">
      <c r="A3988" s="226" t="s">
        <v>1269</v>
      </c>
      <c r="B3988" s="223" t="e">
        <f>INDEX(#REF!,MATCH(Composições!A3988,#REF!,0),2)</f>
        <v>#REF!</v>
      </c>
      <c r="C3988" s="41"/>
      <c r="D3988" s="26" t="e">
        <f>TRIM(INDEX(#REF!,MATCH(Composições!A3988,#REF!,0),1))</f>
        <v>#REF!</v>
      </c>
      <c r="E3988" s="27"/>
      <c r="F3988" s="49" t="s">
        <v>560</v>
      </c>
      <c r="G3988" s="28" t="str">
        <f t="shared" si="67"/>
        <v/>
      </c>
      <c r="H3988" s="29"/>
      <c r="I3988" s="30"/>
      <c r="J3988" s="155">
        <v>0</v>
      </c>
    </row>
    <row r="3989" spans="1:10" ht="15" hidden="1" thickBot="1" x14ac:dyDescent="0.35">
      <c r="A3989" s="227"/>
      <c r="B3989" s="224"/>
      <c r="C3989" s="32"/>
      <c r="D3989" s="32"/>
      <c r="E3989" s="33"/>
      <c r="F3989" s="54" t="s">
        <v>560</v>
      </c>
      <c r="G3989" s="54" t="str">
        <f t="shared" si="67"/>
        <v/>
      </c>
      <c r="H3989" s="73"/>
      <c r="I3989" s="74"/>
      <c r="J3989" s="155">
        <v>0</v>
      </c>
    </row>
    <row r="3990" spans="1:10" ht="15" hidden="1" thickBot="1" x14ac:dyDescent="0.35">
      <c r="A3990" s="227"/>
      <c r="B3990" s="224"/>
      <c r="C3990" s="36" t="s">
        <v>1270</v>
      </c>
      <c r="D3990" s="47" t="s">
        <v>12</v>
      </c>
      <c r="E3990" s="37">
        <f>ROUND(1/10,4)</f>
        <v>0.1</v>
      </c>
      <c r="F3990" s="54">
        <v>90.057500000000005</v>
      </c>
      <c r="G3990" s="54">
        <f t="shared" si="67"/>
        <v>9.0057500000000008</v>
      </c>
      <c r="H3990" s="39">
        <f>SUM(G3990:G3990)</f>
        <v>9.0057500000000008</v>
      </c>
      <c r="I3990" s="40"/>
      <c r="J3990" s="155">
        <v>0</v>
      </c>
    </row>
    <row r="3991" spans="1:10" ht="15" hidden="1" thickBot="1" x14ac:dyDescent="0.35">
      <c r="A3991" s="227"/>
      <c r="B3991" s="224"/>
      <c r="C3991" s="36"/>
      <c r="D3991" s="47"/>
      <c r="E3991" s="37"/>
      <c r="F3991" s="54" t="s">
        <v>560</v>
      </c>
      <c r="G3991" s="54" t="str">
        <f t="shared" si="67"/>
        <v/>
      </c>
      <c r="H3991" s="73"/>
      <c r="I3991" s="74"/>
      <c r="J3991" s="155">
        <v>0</v>
      </c>
    </row>
    <row r="3992" spans="1:10" ht="15" hidden="1" thickBot="1" x14ac:dyDescent="0.35">
      <c r="A3992" s="226" t="s">
        <v>1271</v>
      </c>
      <c r="B3992" s="223" t="e">
        <f>INDEX(#REF!,MATCH(Composições!A3992,#REF!,0),2)</f>
        <v>#REF!</v>
      </c>
      <c r="C3992" s="41"/>
      <c r="D3992" s="26" t="e">
        <f>TRIM(INDEX(#REF!,MATCH(Composições!A3992,#REF!,0),1))</f>
        <v>#REF!</v>
      </c>
      <c r="E3992" s="27"/>
      <c r="F3992" s="49" t="s">
        <v>560</v>
      </c>
      <c r="G3992" s="28" t="str">
        <f t="shared" si="67"/>
        <v/>
      </c>
      <c r="H3992" s="29"/>
      <c r="I3992" s="30"/>
      <c r="J3992" s="155">
        <v>0</v>
      </c>
    </row>
    <row r="3993" spans="1:10" ht="15" hidden="1" thickBot="1" x14ac:dyDescent="0.35">
      <c r="A3993" s="227"/>
      <c r="B3993" s="224"/>
      <c r="C3993" s="32"/>
      <c r="D3993" s="32"/>
      <c r="E3993" s="33"/>
      <c r="F3993" s="54" t="s">
        <v>560</v>
      </c>
      <c r="G3993" s="54" t="str">
        <f t="shared" si="67"/>
        <v/>
      </c>
      <c r="H3993" s="73"/>
      <c r="I3993" s="74"/>
      <c r="J3993" s="155">
        <v>0</v>
      </c>
    </row>
    <row r="3994" spans="1:10" ht="15" hidden="1" thickBot="1" x14ac:dyDescent="0.35">
      <c r="A3994" s="227"/>
      <c r="B3994" s="224"/>
      <c r="C3994" s="36" t="s">
        <v>23</v>
      </c>
      <c r="D3994" s="47" t="s">
        <v>12</v>
      </c>
      <c r="E3994" s="37">
        <v>0.18</v>
      </c>
      <c r="F3994" s="54">
        <v>14.968499999999999</v>
      </c>
      <c r="G3994" s="54">
        <f t="shared" si="67"/>
        <v>2.6943299999999999</v>
      </c>
      <c r="H3994" s="39">
        <f>SUM(G3994:G3997)</f>
        <v>37.774169999999998</v>
      </c>
      <c r="I3994" s="40"/>
      <c r="J3994" s="155">
        <v>0</v>
      </c>
    </row>
    <row r="3995" spans="1:10" ht="15" hidden="1" thickBot="1" x14ac:dyDescent="0.35">
      <c r="A3995" s="227"/>
      <c r="B3995" s="224"/>
      <c r="C3995" s="36" t="s">
        <v>1272</v>
      </c>
      <c r="D3995" s="47" t="s">
        <v>12</v>
      </c>
      <c r="E3995" s="37">
        <v>0.18</v>
      </c>
      <c r="F3995" s="54">
        <v>23.527999999999999</v>
      </c>
      <c r="G3995" s="54">
        <f t="shared" si="67"/>
        <v>4.2350399999999997</v>
      </c>
      <c r="H3995" s="73"/>
      <c r="I3995" s="74"/>
      <c r="J3995" s="155">
        <v>0</v>
      </c>
    </row>
    <row r="3996" spans="1:10" ht="15" hidden="1" thickBot="1" x14ac:dyDescent="0.35">
      <c r="A3996" s="227"/>
      <c r="B3996" s="224"/>
      <c r="C3996" s="36" t="s">
        <v>244</v>
      </c>
      <c r="D3996" s="36" t="s">
        <v>42</v>
      </c>
      <c r="E3996" s="37">
        <v>0.9</v>
      </c>
      <c r="F3996" s="54">
        <v>34.271999999999998</v>
      </c>
      <c r="G3996" s="54">
        <f t="shared" si="67"/>
        <v>30.844799999999999</v>
      </c>
      <c r="H3996" s="73"/>
      <c r="I3996" s="74"/>
      <c r="J3996" s="155">
        <v>0</v>
      </c>
    </row>
    <row r="3997" spans="1:10" ht="15" hidden="1" thickBot="1" x14ac:dyDescent="0.35">
      <c r="A3997" s="227"/>
      <c r="B3997" s="224"/>
      <c r="C3997" s="36" t="s">
        <v>1273</v>
      </c>
      <c r="D3997" s="36" t="s">
        <v>95</v>
      </c>
      <c r="E3997" s="37">
        <v>1.05</v>
      </c>
      <c r="F3997" s="54">
        <v>0</v>
      </c>
      <c r="G3997" s="54">
        <f t="shared" si="67"/>
        <v>0</v>
      </c>
      <c r="H3997" s="73"/>
      <c r="I3997" s="74"/>
      <c r="J3997" s="155">
        <v>0</v>
      </c>
    </row>
    <row r="3998" spans="1:10" ht="15" hidden="1" thickBot="1" x14ac:dyDescent="0.35">
      <c r="A3998" s="227"/>
      <c r="B3998" s="224"/>
      <c r="C3998" s="55"/>
      <c r="D3998" s="55"/>
      <c r="E3998" s="66"/>
      <c r="F3998" s="76" t="s">
        <v>560</v>
      </c>
      <c r="G3998" s="76" t="str">
        <f t="shared" si="67"/>
        <v/>
      </c>
      <c r="H3998" s="77"/>
      <c r="I3998" s="74"/>
      <c r="J3998" s="155">
        <v>0</v>
      </c>
    </row>
    <row r="3999" spans="1:10" ht="15" hidden="1" thickBot="1" x14ac:dyDescent="0.35">
      <c r="A3999" s="226" t="s">
        <v>1274</v>
      </c>
      <c r="B3999" s="223" t="e">
        <f>INDEX(#REF!,MATCH(Composições!A3999,#REF!,0),2)</f>
        <v>#REF!</v>
      </c>
      <c r="C3999" s="41"/>
      <c r="D3999" s="26" t="e">
        <f>TRIM(INDEX(#REF!,MATCH(Composições!A3999,#REF!,0),1))</f>
        <v>#REF!</v>
      </c>
      <c r="E3999" s="27"/>
      <c r="F3999" s="42" t="s">
        <v>560</v>
      </c>
      <c r="G3999" s="28" t="str">
        <f t="shared" si="67"/>
        <v/>
      </c>
      <c r="H3999" s="29"/>
      <c r="I3999" s="30"/>
      <c r="J3999" s="155">
        <v>0</v>
      </c>
    </row>
    <row r="4000" spans="1:10" ht="15" hidden="1" thickBot="1" x14ac:dyDescent="0.35">
      <c r="A4000" s="229"/>
      <c r="B4000" s="224"/>
      <c r="C4000" s="32"/>
      <c r="D4000" s="32"/>
      <c r="E4000" s="33"/>
      <c r="F4000" s="43" t="s">
        <v>560</v>
      </c>
      <c r="G4000" s="31" t="str">
        <f t="shared" si="67"/>
        <v/>
      </c>
      <c r="H4000" s="35"/>
      <c r="I4000" s="31"/>
      <c r="J4000" s="155">
        <v>0</v>
      </c>
    </row>
    <row r="4001" spans="1:10" ht="15" hidden="1" thickBot="1" x14ac:dyDescent="0.35">
      <c r="A4001" s="229"/>
      <c r="B4001" s="224"/>
      <c r="C4001" s="36" t="s">
        <v>1933</v>
      </c>
      <c r="D4001" s="36" t="s">
        <v>42</v>
      </c>
      <c r="E4001" s="37">
        <v>8.6199999999999992</v>
      </c>
      <c r="F4001" s="34">
        <v>1.1729999999999998</v>
      </c>
      <c r="G4001" s="34">
        <f t="shared" si="67"/>
        <v>10.111259999999998</v>
      </c>
      <c r="H4001" s="39">
        <f>SUM(G4001:G4005)</f>
        <v>39.421827</v>
      </c>
      <c r="I4001" s="40"/>
      <c r="J4001" s="155">
        <v>0</v>
      </c>
    </row>
    <row r="4002" spans="1:10" ht="15" hidden="1" thickBot="1" x14ac:dyDescent="0.35">
      <c r="A4002" s="229"/>
      <c r="B4002" s="224"/>
      <c r="C4002" s="36" t="s">
        <v>54</v>
      </c>
      <c r="D4002" s="36" t="s">
        <v>12</v>
      </c>
      <c r="E4002" s="37">
        <v>1.1879999999999999</v>
      </c>
      <c r="F4002" s="31">
        <v>16.923500000000001</v>
      </c>
      <c r="G4002" s="34">
        <f t="shared" si="67"/>
        <v>20.105118000000001</v>
      </c>
      <c r="H4002" s="35"/>
      <c r="I4002" s="31"/>
      <c r="J4002" s="155">
        <v>0</v>
      </c>
    </row>
    <row r="4003" spans="1:10" ht="15" hidden="1" thickBot="1" x14ac:dyDescent="0.35">
      <c r="A4003" s="229"/>
      <c r="B4003" s="224"/>
      <c r="C4003" s="36" t="s">
        <v>23</v>
      </c>
      <c r="D4003" s="36" t="s">
        <v>12</v>
      </c>
      <c r="E4003" s="37">
        <v>0.59399999999999997</v>
      </c>
      <c r="F4003" s="31">
        <v>14.968499999999999</v>
      </c>
      <c r="G4003" s="34">
        <f t="shared" si="67"/>
        <v>8.8912889999999987</v>
      </c>
      <c r="H4003" s="35"/>
      <c r="I4003" s="31"/>
      <c r="J4003" s="155">
        <v>0</v>
      </c>
    </row>
    <row r="4004" spans="1:10" ht="15" hidden="1" thickBot="1" x14ac:dyDescent="0.35">
      <c r="A4004" s="229"/>
      <c r="B4004" s="224"/>
      <c r="C4004" s="36" t="s">
        <v>1932</v>
      </c>
      <c r="D4004" s="36" t="s">
        <v>42</v>
      </c>
      <c r="E4004" s="37">
        <v>0.14000000000000001</v>
      </c>
      <c r="F4004" s="34">
        <v>2.2440000000000002</v>
      </c>
      <c r="G4004" s="34">
        <f t="shared" si="67"/>
        <v>0.31416000000000005</v>
      </c>
      <c r="H4004" s="35"/>
      <c r="I4004" s="31"/>
      <c r="J4004" s="155">
        <v>0</v>
      </c>
    </row>
    <row r="4005" spans="1:10" ht="15" hidden="1" thickBot="1" x14ac:dyDescent="0.35">
      <c r="A4005" s="229"/>
      <c r="B4005" s="224"/>
      <c r="C4005" s="36" t="s">
        <v>1275</v>
      </c>
      <c r="D4005" s="36" t="s">
        <v>95</v>
      </c>
      <c r="E4005" s="37">
        <v>1.1599999999999999</v>
      </c>
      <c r="F4005" s="34" t="s">
        <v>560</v>
      </c>
      <c r="G4005" s="54" t="str">
        <f t="shared" si="67"/>
        <v/>
      </c>
      <c r="H4005" s="35"/>
      <c r="I4005" s="31"/>
      <c r="J4005" s="155">
        <v>0</v>
      </c>
    </row>
    <row r="4006" spans="1:10" ht="15" hidden="1" thickBot="1" x14ac:dyDescent="0.35">
      <c r="A4006" s="230"/>
      <c r="B4006" s="225"/>
      <c r="C4006" s="36"/>
      <c r="D4006" s="36"/>
      <c r="E4006" s="37"/>
      <c r="F4006" s="31" t="s">
        <v>560</v>
      </c>
      <c r="G4006" s="31" t="str">
        <f t="shared" si="67"/>
        <v/>
      </c>
      <c r="H4006" s="35"/>
      <c r="I4006" s="31"/>
      <c r="J4006" s="155">
        <v>0</v>
      </c>
    </row>
    <row r="4007" spans="1:10" ht="15" hidden="1" thickBot="1" x14ac:dyDescent="0.35">
      <c r="A4007" s="226" t="s">
        <v>1276</v>
      </c>
      <c r="B4007" s="223" t="e">
        <f>INDEX(#REF!,MATCH(Composições!A4007,#REF!,0),2)</f>
        <v>#REF!</v>
      </c>
      <c r="C4007" s="41"/>
      <c r="D4007" s="26" t="e">
        <f>TRIM(INDEX(#REF!,MATCH(Composições!A4007,#REF!,0),1))</f>
        <v>#REF!</v>
      </c>
      <c r="E4007" s="27"/>
      <c r="F4007" s="42" t="s">
        <v>560</v>
      </c>
      <c r="G4007" s="28" t="str">
        <f t="shared" si="67"/>
        <v/>
      </c>
      <c r="H4007" s="29"/>
      <c r="I4007" s="30"/>
      <c r="J4007" s="155">
        <v>0</v>
      </c>
    </row>
    <row r="4008" spans="1:10" ht="15" hidden="1" thickBot="1" x14ac:dyDescent="0.35">
      <c r="A4008" s="229"/>
      <c r="B4008" s="224"/>
      <c r="C4008" s="32"/>
      <c r="D4008" s="32"/>
      <c r="E4008" s="33"/>
      <c r="F4008" s="43" t="s">
        <v>560</v>
      </c>
      <c r="G4008" s="31" t="str">
        <f t="shared" si="67"/>
        <v/>
      </c>
      <c r="H4008" s="35"/>
      <c r="I4008" s="31"/>
      <c r="J4008" s="155">
        <v>0</v>
      </c>
    </row>
    <row r="4009" spans="1:10" ht="15" hidden="1" thickBot="1" x14ac:dyDescent="0.35">
      <c r="A4009" s="229"/>
      <c r="B4009" s="224"/>
      <c r="C4009" s="36" t="s">
        <v>1933</v>
      </c>
      <c r="D4009" s="36" t="s">
        <v>42</v>
      </c>
      <c r="E4009" s="37">
        <v>8.6199999999999992</v>
      </c>
      <c r="F4009" s="34">
        <v>1.1729999999999998</v>
      </c>
      <c r="G4009" s="34">
        <f t="shared" si="67"/>
        <v>10.111259999999998</v>
      </c>
      <c r="H4009" s="39">
        <f>SUM(G4009:G4013)</f>
        <v>39.421827</v>
      </c>
      <c r="I4009" s="40"/>
      <c r="J4009" s="155">
        <v>0</v>
      </c>
    </row>
    <row r="4010" spans="1:10" ht="15" hidden="1" thickBot="1" x14ac:dyDescent="0.35">
      <c r="A4010" s="229"/>
      <c r="B4010" s="224"/>
      <c r="C4010" s="36" t="s">
        <v>54</v>
      </c>
      <c r="D4010" s="36" t="s">
        <v>12</v>
      </c>
      <c r="E4010" s="37">
        <v>1.1879999999999999</v>
      </c>
      <c r="F4010" s="31">
        <v>16.923500000000001</v>
      </c>
      <c r="G4010" s="34">
        <f t="shared" si="67"/>
        <v>20.105118000000001</v>
      </c>
      <c r="H4010" s="35"/>
      <c r="I4010" s="31"/>
      <c r="J4010" s="155">
        <v>0</v>
      </c>
    </row>
    <row r="4011" spans="1:10" ht="15" hidden="1" thickBot="1" x14ac:dyDescent="0.35">
      <c r="A4011" s="229"/>
      <c r="B4011" s="224"/>
      <c r="C4011" s="36" t="s">
        <v>23</v>
      </c>
      <c r="D4011" s="36" t="s">
        <v>12</v>
      </c>
      <c r="E4011" s="37">
        <v>0.59399999999999997</v>
      </c>
      <c r="F4011" s="31">
        <v>14.968499999999999</v>
      </c>
      <c r="G4011" s="34">
        <f t="shared" si="67"/>
        <v>8.8912889999999987</v>
      </c>
      <c r="H4011" s="35"/>
      <c r="I4011" s="31"/>
      <c r="J4011" s="155">
        <v>0</v>
      </c>
    </row>
    <row r="4012" spans="1:10" ht="15" hidden="1" thickBot="1" x14ac:dyDescent="0.35">
      <c r="A4012" s="229"/>
      <c r="B4012" s="224"/>
      <c r="C4012" s="36" t="s">
        <v>1932</v>
      </c>
      <c r="D4012" s="36" t="s">
        <v>42</v>
      </c>
      <c r="E4012" s="37">
        <v>0.14000000000000001</v>
      </c>
      <c r="F4012" s="34">
        <v>2.2440000000000002</v>
      </c>
      <c r="G4012" s="34">
        <f t="shared" si="67"/>
        <v>0.31416000000000005</v>
      </c>
      <c r="H4012" s="35"/>
      <c r="I4012" s="31"/>
      <c r="J4012" s="155">
        <v>0</v>
      </c>
    </row>
    <row r="4013" spans="1:10" ht="15" hidden="1" thickBot="1" x14ac:dyDescent="0.35">
      <c r="A4013" s="229"/>
      <c r="B4013" s="224"/>
      <c r="C4013" s="36" t="s">
        <v>1277</v>
      </c>
      <c r="D4013" s="36" t="s">
        <v>95</v>
      </c>
      <c r="E4013" s="37">
        <v>1.1599999999999999</v>
      </c>
      <c r="F4013" s="34" t="s">
        <v>560</v>
      </c>
      <c r="G4013" s="54" t="str">
        <f t="shared" si="67"/>
        <v/>
      </c>
      <c r="H4013" s="35"/>
      <c r="I4013" s="31"/>
      <c r="J4013" s="155">
        <v>0</v>
      </c>
    </row>
    <row r="4014" spans="1:10" ht="15" hidden="1" thickBot="1" x14ac:dyDescent="0.35">
      <c r="A4014" s="230"/>
      <c r="B4014" s="225"/>
      <c r="C4014" s="36"/>
      <c r="D4014" s="36"/>
      <c r="E4014" s="37"/>
      <c r="F4014" s="31" t="s">
        <v>560</v>
      </c>
      <c r="G4014" s="31" t="str">
        <f t="shared" si="67"/>
        <v/>
      </c>
      <c r="H4014" s="35"/>
      <c r="I4014" s="31"/>
      <c r="J4014" s="155">
        <v>0</v>
      </c>
    </row>
    <row r="4015" spans="1:10" ht="15" hidden="1" thickBot="1" x14ac:dyDescent="0.35">
      <c r="A4015" s="226" t="s">
        <v>1278</v>
      </c>
      <c r="B4015" s="223" t="e">
        <f>INDEX(#REF!,MATCH(Composições!A4015,#REF!,0),2)</f>
        <v>#REF!</v>
      </c>
      <c r="C4015" s="41"/>
      <c r="D4015" s="26" t="e">
        <f>TRIM(INDEX(#REF!,MATCH(Composições!A4015,#REF!,0),1))</f>
        <v>#REF!</v>
      </c>
      <c r="E4015" s="27"/>
      <c r="F4015" s="49" t="s">
        <v>560</v>
      </c>
      <c r="G4015" s="28" t="str">
        <f t="shared" si="67"/>
        <v/>
      </c>
      <c r="H4015" s="29"/>
      <c r="I4015" s="30"/>
      <c r="J4015" s="155">
        <v>0</v>
      </c>
    </row>
    <row r="4016" spans="1:10" ht="15" hidden="1" thickBot="1" x14ac:dyDescent="0.35">
      <c r="A4016" s="227"/>
      <c r="B4016" s="224"/>
      <c r="C4016" s="32"/>
      <c r="D4016" s="32"/>
      <c r="E4016" s="33"/>
      <c r="F4016" s="54" t="s">
        <v>560</v>
      </c>
      <c r="G4016" s="54" t="str">
        <f t="shared" si="67"/>
        <v/>
      </c>
      <c r="H4016" s="73"/>
      <c r="I4016" s="74"/>
      <c r="J4016" s="155">
        <v>0</v>
      </c>
    </row>
    <row r="4017" spans="1:10" ht="27" hidden="1" thickBot="1" x14ac:dyDescent="0.35">
      <c r="A4017" s="227"/>
      <c r="B4017" s="224"/>
      <c r="C4017" s="36" t="s">
        <v>1279</v>
      </c>
      <c r="D4017" s="36" t="s">
        <v>1035</v>
      </c>
      <c r="E4017" s="37">
        <v>1.07</v>
      </c>
      <c r="F4017" s="54">
        <v>50.574999999999996</v>
      </c>
      <c r="G4017" s="54">
        <f t="shared" si="67"/>
        <v>54.115249999999996</v>
      </c>
      <c r="H4017" s="39">
        <f>SUM(G4017:G4021)</f>
        <v>80.85786499999999</v>
      </c>
      <c r="I4017" s="40"/>
      <c r="J4017" s="155">
        <v>0</v>
      </c>
    </row>
    <row r="4018" spans="1:10" ht="15" hidden="1" thickBot="1" x14ac:dyDescent="0.35">
      <c r="A4018" s="227"/>
      <c r="B4018" s="224"/>
      <c r="C4018" s="36" t="s">
        <v>1932</v>
      </c>
      <c r="D4018" s="36" t="s">
        <v>939</v>
      </c>
      <c r="E4018" s="37">
        <v>0.24</v>
      </c>
      <c r="F4018" s="54">
        <v>2.2440000000000002</v>
      </c>
      <c r="G4018" s="54">
        <f t="shared" si="67"/>
        <v>0.53856000000000004</v>
      </c>
      <c r="H4018" s="73"/>
      <c r="I4018" s="74"/>
      <c r="J4018" s="155">
        <v>0</v>
      </c>
    </row>
    <row r="4019" spans="1:10" ht="15" hidden="1" thickBot="1" x14ac:dyDescent="0.35">
      <c r="A4019" s="227"/>
      <c r="B4019" s="224"/>
      <c r="C4019" s="36" t="s">
        <v>1933</v>
      </c>
      <c r="D4019" s="36" t="s">
        <v>939</v>
      </c>
      <c r="E4019" s="37">
        <v>8.6199999999999992</v>
      </c>
      <c r="F4019" s="54">
        <v>1.1729999999999998</v>
      </c>
      <c r="G4019" s="54">
        <f t="shared" si="67"/>
        <v>10.111259999999998</v>
      </c>
      <c r="H4019" s="73"/>
      <c r="I4019" s="74"/>
      <c r="J4019" s="155">
        <v>0</v>
      </c>
    </row>
    <row r="4020" spans="1:10" ht="15" hidden="1" thickBot="1" x14ac:dyDescent="0.35">
      <c r="A4020" s="227"/>
      <c r="B4020" s="224"/>
      <c r="C4020" s="36" t="s">
        <v>1280</v>
      </c>
      <c r="D4020" s="36" t="s">
        <v>744</v>
      </c>
      <c r="E4020" s="37">
        <v>0.61</v>
      </c>
      <c r="F4020" s="54">
        <v>20.247</v>
      </c>
      <c r="G4020" s="54">
        <f t="shared" si="67"/>
        <v>12.350669999999999</v>
      </c>
      <c r="H4020" s="73"/>
      <c r="I4020" s="74"/>
      <c r="J4020" s="155">
        <v>0</v>
      </c>
    </row>
    <row r="4021" spans="1:10" ht="15" hidden="1" thickBot="1" x14ac:dyDescent="0.35">
      <c r="A4021" s="227"/>
      <c r="B4021" s="224"/>
      <c r="C4021" s="36" t="s">
        <v>745</v>
      </c>
      <c r="D4021" s="36" t="s">
        <v>744</v>
      </c>
      <c r="E4021" s="37">
        <v>0.25</v>
      </c>
      <c r="F4021" s="54">
        <v>14.968499999999999</v>
      </c>
      <c r="G4021" s="54">
        <f t="shared" si="67"/>
        <v>3.7421249999999997</v>
      </c>
      <c r="H4021" s="73"/>
      <c r="I4021" s="74"/>
      <c r="J4021" s="155">
        <v>0</v>
      </c>
    </row>
    <row r="4022" spans="1:10" ht="15" hidden="1" thickBot="1" x14ac:dyDescent="0.35">
      <c r="A4022" s="227"/>
      <c r="B4022" s="224"/>
      <c r="C4022" s="36"/>
      <c r="D4022" s="47"/>
      <c r="E4022" s="37"/>
      <c r="F4022" s="54" t="s">
        <v>560</v>
      </c>
      <c r="G4022" s="54" t="str">
        <f t="shared" si="67"/>
        <v/>
      </c>
      <c r="H4022" s="73"/>
      <c r="I4022" s="74"/>
      <c r="J4022" s="155">
        <v>0</v>
      </c>
    </row>
    <row r="4023" spans="1:10" ht="15" hidden="1" thickBot="1" x14ac:dyDescent="0.35">
      <c r="A4023" s="226" t="s">
        <v>1281</v>
      </c>
      <c r="B4023" s="223" t="e">
        <f>INDEX(#REF!,MATCH(Composições!A4023,#REF!,0),2)</f>
        <v>#REF!</v>
      </c>
      <c r="C4023" s="41"/>
      <c r="D4023" s="26" t="e">
        <f>TRIM(INDEX(#REF!,MATCH(Composições!A4023,#REF!,0),1))</f>
        <v>#REF!</v>
      </c>
      <c r="E4023" s="27"/>
      <c r="F4023" s="49" t="s">
        <v>560</v>
      </c>
      <c r="G4023" s="28" t="str">
        <f t="shared" si="67"/>
        <v/>
      </c>
      <c r="H4023" s="29"/>
      <c r="I4023" s="30"/>
      <c r="J4023" s="155">
        <v>0</v>
      </c>
    </row>
    <row r="4024" spans="1:10" ht="15" hidden="1" thickBot="1" x14ac:dyDescent="0.35">
      <c r="A4024" s="227"/>
      <c r="B4024" s="224"/>
      <c r="C4024" s="32"/>
      <c r="D4024" s="32"/>
      <c r="E4024" s="33"/>
      <c r="F4024" s="54" t="s">
        <v>560</v>
      </c>
      <c r="G4024" s="54" t="str">
        <f t="shared" si="67"/>
        <v/>
      </c>
      <c r="H4024" s="73"/>
      <c r="I4024" s="74"/>
      <c r="J4024" s="155">
        <v>0</v>
      </c>
    </row>
    <row r="4025" spans="1:10" ht="27" hidden="1" thickBot="1" x14ac:dyDescent="0.35">
      <c r="A4025" s="227"/>
      <c r="B4025" s="224"/>
      <c r="C4025" s="36" t="s">
        <v>1282</v>
      </c>
      <c r="D4025" s="36" t="s">
        <v>515</v>
      </c>
      <c r="E4025" s="37">
        <v>1.67</v>
      </c>
      <c r="F4025" s="54">
        <v>1.1305000000000001</v>
      </c>
      <c r="G4025" s="54">
        <f t="shared" si="67"/>
        <v>1.8879349999999999</v>
      </c>
      <c r="H4025" s="39">
        <f>SUM(G4025:G4031)</f>
        <v>33.721004885490302</v>
      </c>
      <c r="I4025" s="40"/>
      <c r="J4025" s="155">
        <v>0</v>
      </c>
    </row>
    <row r="4026" spans="1:10" ht="27" hidden="1" thickBot="1" x14ac:dyDescent="0.35">
      <c r="A4026" s="227"/>
      <c r="B4026" s="224"/>
      <c r="C4026" s="36" t="s">
        <v>1790</v>
      </c>
      <c r="D4026" s="36" t="s">
        <v>939</v>
      </c>
      <c r="E4026" s="37">
        <v>23.24</v>
      </c>
      <c r="F4026" s="54">
        <v>0.30599999999999999</v>
      </c>
      <c r="G4026" s="54">
        <f t="shared" si="67"/>
        <v>7.1114399999999991</v>
      </c>
      <c r="H4026" s="73"/>
      <c r="I4026" s="74"/>
      <c r="J4026" s="155">
        <v>0</v>
      </c>
    </row>
    <row r="4027" spans="1:10" ht="40.200000000000003" hidden="1" thickBot="1" x14ac:dyDescent="0.35">
      <c r="A4027" s="227"/>
      <c r="B4027" s="224"/>
      <c r="C4027" s="36" t="s">
        <v>1687</v>
      </c>
      <c r="D4027" s="36" t="s">
        <v>122</v>
      </c>
      <c r="E4027" s="37">
        <v>1.66E-2</v>
      </c>
      <c r="F4027" s="54">
        <v>541.23803527050006</v>
      </c>
      <c r="G4027" s="54">
        <f t="shared" si="67"/>
        <v>8.9845513854903007</v>
      </c>
      <c r="H4027" s="73"/>
      <c r="I4027" s="74"/>
      <c r="J4027" s="155">
        <v>0</v>
      </c>
    </row>
    <row r="4028" spans="1:10" ht="15" hidden="1" thickBot="1" x14ac:dyDescent="0.35">
      <c r="A4028" s="227"/>
      <c r="B4028" s="224"/>
      <c r="C4028" s="36" t="s">
        <v>752</v>
      </c>
      <c r="D4028" s="36" t="s">
        <v>744</v>
      </c>
      <c r="E4028" s="37">
        <v>0.55100000000000005</v>
      </c>
      <c r="F4028" s="54">
        <v>20.314999999999998</v>
      </c>
      <c r="G4028" s="54">
        <f t="shared" si="67"/>
        <v>11.193565</v>
      </c>
      <c r="H4028" s="73"/>
      <c r="I4028" s="74"/>
      <c r="J4028" s="155">
        <v>0</v>
      </c>
    </row>
    <row r="4029" spans="1:10" ht="15" hidden="1" thickBot="1" x14ac:dyDescent="0.35">
      <c r="A4029" s="227"/>
      <c r="B4029" s="224"/>
      <c r="C4029" s="36" t="s">
        <v>745</v>
      </c>
      <c r="D4029" s="36" t="s">
        <v>744</v>
      </c>
      <c r="E4029" s="37">
        <v>0.27500000000000002</v>
      </c>
      <c r="F4029" s="54">
        <v>14.968499999999999</v>
      </c>
      <c r="G4029" s="54">
        <f t="shared" si="67"/>
        <v>4.1163375000000002</v>
      </c>
      <c r="H4029" s="73"/>
      <c r="I4029" s="74"/>
      <c r="J4029" s="155">
        <v>0</v>
      </c>
    </row>
    <row r="4030" spans="1:10" ht="27" hidden="1" thickBot="1" x14ac:dyDescent="0.35">
      <c r="A4030" s="227"/>
      <c r="B4030" s="224"/>
      <c r="C4030" s="36" t="s">
        <v>1162</v>
      </c>
      <c r="D4030" s="36" t="s">
        <v>983</v>
      </c>
      <c r="E4030" s="37">
        <v>0.123</v>
      </c>
      <c r="F4030" s="54">
        <v>2.1419999999999999</v>
      </c>
      <c r="G4030" s="54">
        <f t="shared" si="67"/>
        <v>0.26346599999999998</v>
      </c>
      <c r="H4030" s="73"/>
      <c r="I4030" s="74"/>
      <c r="J4030" s="155">
        <v>0</v>
      </c>
    </row>
    <row r="4031" spans="1:10" ht="27" hidden="1" thickBot="1" x14ac:dyDescent="0.35">
      <c r="A4031" s="227"/>
      <c r="B4031" s="224"/>
      <c r="C4031" s="36" t="s">
        <v>1163</v>
      </c>
      <c r="D4031" s="36" t="s">
        <v>985</v>
      </c>
      <c r="E4031" s="37">
        <v>0.42799999999999999</v>
      </c>
      <c r="F4031" s="54">
        <v>0.38250000000000001</v>
      </c>
      <c r="G4031" s="54">
        <f t="shared" si="67"/>
        <v>0.16370999999999999</v>
      </c>
      <c r="H4031" s="73"/>
      <c r="I4031" s="74"/>
      <c r="J4031" s="155">
        <v>0</v>
      </c>
    </row>
    <row r="4032" spans="1:10" ht="15" hidden="1" thickBot="1" x14ac:dyDescent="0.35">
      <c r="A4032" s="227"/>
      <c r="B4032" s="224"/>
      <c r="C4032" s="36"/>
      <c r="D4032" s="47"/>
      <c r="E4032" s="37"/>
      <c r="F4032" s="54" t="s">
        <v>560</v>
      </c>
      <c r="G4032" s="54" t="str">
        <f t="shared" si="67"/>
        <v/>
      </c>
      <c r="H4032" s="73"/>
      <c r="I4032" s="74"/>
      <c r="J4032" s="155">
        <v>0</v>
      </c>
    </row>
    <row r="4033" spans="1:10" ht="15" hidden="1" thickBot="1" x14ac:dyDescent="0.35">
      <c r="A4033" s="226" t="s">
        <v>1283</v>
      </c>
      <c r="B4033" s="223" t="e">
        <f>INDEX(#REF!,MATCH(Composições!A4033,#REF!,0),2)</f>
        <v>#REF!</v>
      </c>
      <c r="C4033" s="41"/>
      <c r="D4033" s="26" t="e">
        <f>TRIM(INDEX(#REF!,MATCH(Composições!A4033,#REF!,0),1))</f>
        <v>#REF!</v>
      </c>
      <c r="E4033" s="27"/>
      <c r="F4033" s="49" t="s">
        <v>560</v>
      </c>
      <c r="G4033" s="28" t="str">
        <f t="shared" ref="G4033:G4096" si="68">IF(ISNUMBER(F4033),E4033*F4033,"")</f>
        <v/>
      </c>
      <c r="H4033" s="29"/>
      <c r="I4033" s="30"/>
      <c r="J4033" s="155">
        <v>0</v>
      </c>
    </row>
    <row r="4034" spans="1:10" ht="15" hidden="1" thickBot="1" x14ac:dyDescent="0.35">
      <c r="A4034" s="227"/>
      <c r="B4034" s="224"/>
      <c r="C4034" s="32"/>
      <c r="D4034" s="32"/>
      <c r="E4034" s="33"/>
      <c r="F4034" s="54" t="s">
        <v>560</v>
      </c>
      <c r="G4034" s="54" t="str">
        <f t="shared" si="68"/>
        <v/>
      </c>
      <c r="H4034" s="73"/>
      <c r="I4034" s="74"/>
      <c r="J4034" s="155">
        <v>0</v>
      </c>
    </row>
    <row r="4035" spans="1:10" ht="15" hidden="1" thickBot="1" x14ac:dyDescent="0.35">
      <c r="A4035" s="227"/>
      <c r="B4035" s="224"/>
      <c r="C4035" s="36" t="s">
        <v>1284</v>
      </c>
      <c r="D4035" s="47" t="s">
        <v>95</v>
      </c>
      <c r="E4035" s="37">
        <v>1.05</v>
      </c>
      <c r="F4035" s="54" t="s">
        <v>560</v>
      </c>
      <c r="G4035" s="54" t="str">
        <f t="shared" si="68"/>
        <v/>
      </c>
      <c r="H4035" s="39">
        <f>SUM(G4035:G4038)</f>
        <v>13.271474999999999</v>
      </c>
      <c r="I4035" s="40"/>
      <c r="J4035" s="155">
        <v>0</v>
      </c>
    </row>
    <row r="4036" spans="1:10" ht="15" hidden="1" thickBot="1" x14ac:dyDescent="0.35">
      <c r="A4036" s="227"/>
      <c r="B4036" s="224"/>
      <c r="C4036" s="36" t="s">
        <v>298</v>
      </c>
      <c r="D4036" s="47" t="s">
        <v>42</v>
      </c>
      <c r="E4036" s="37">
        <v>0.35</v>
      </c>
      <c r="F4036" s="54">
        <v>22.797000000000001</v>
      </c>
      <c r="G4036" s="54">
        <f t="shared" si="68"/>
        <v>7.9789499999999993</v>
      </c>
      <c r="H4036" s="73"/>
      <c r="I4036" s="74"/>
      <c r="J4036" s="155">
        <v>0</v>
      </c>
    </row>
    <row r="4037" spans="1:10" ht="15" hidden="1" thickBot="1" x14ac:dyDescent="0.35">
      <c r="A4037" s="227"/>
      <c r="B4037" s="224"/>
      <c r="C4037" s="36" t="s">
        <v>22</v>
      </c>
      <c r="D4037" s="36" t="s">
        <v>12</v>
      </c>
      <c r="E4037" s="37">
        <v>0.15</v>
      </c>
      <c r="F4037" s="54">
        <v>20.314999999999998</v>
      </c>
      <c r="G4037" s="54">
        <f t="shared" si="68"/>
        <v>3.0472499999999996</v>
      </c>
      <c r="H4037" s="73"/>
      <c r="I4037" s="74"/>
      <c r="J4037" s="155">
        <v>0</v>
      </c>
    </row>
    <row r="4038" spans="1:10" ht="15" hidden="1" thickBot="1" x14ac:dyDescent="0.35">
      <c r="A4038" s="227"/>
      <c r="B4038" s="224"/>
      <c r="C4038" s="36" t="s">
        <v>23</v>
      </c>
      <c r="D4038" s="36" t="s">
        <v>12</v>
      </c>
      <c r="E4038" s="37">
        <v>0.15</v>
      </c>
      <c r="F4038" s="54">
        <v>14.968499999999999</v>
      </c>
      <c r="G4038" s="54">
        <f t="shared" si="68"/>
        <v>2.2452749999999999</v>
      </c>
      <c r="H4038" s="73"/>
      <c r="I4038" s="74"/>
      <c r="J4038" s="155">
        <v>0</v>
      </c>
    </row>
    <row r="4039" spans="1:10" ht="15" hidden="1" thickBot="1" x14ac:dyDescent="0.35">
      <c r="A4039" s="227"/>
      <c r="B4039" s="224"/>
      <c r="C4039" s="55"/>
      <c r="D4039" s="55"/>
      <c r="E4039" s="66"/>
      <c r="F4039" s="76" t="s">
        <v>560</v>
      </c>
      <c r="G4039" s="76" t="str">
        <f t="shared" si="68"/>
        <v/>
      </c>
      <c r="H4039" s="77"/>
      <c r="I4039" s="74"/>
      <c r="J4039" s="155">
        <v>0</v>
      </c>
    </row>
    <row r="4040" spans="1:10" ht="15" hidden="1" thickBot="1" x14ac:dyDescent="0.35">
      <c r="A4040" s="226" t="s">
        <v>1285</v>
      </c>
      <c r="B4040" s="223" t="e">
        <f>INDEX(#REF!,MATCH(Composições!A4040,#REF!,0),2)</f>
        <v>#REF!</v>
      </c>
      <c r="C4040" s="41"/>
      <c r="D4040" s="26" t="e">
        <f>TRIM(INDEX(#REF!,MATCH(Composições!A4040,#REF!,0),1))</f>
        <v>#REF!</v>
      </c>
      <c r="E4040" s="27"/>
      <c r="F4040" s="49" t="s">
        <v>560</v>
      </c>
      <c r="G4040" s="28" t="str">
        <f t="shared" si="68"/>
        <v/>
      </c>
      <c r="H4040" s="29"/>
      <c r="I4040" s="30"/>
      <c r="J4040" s="155">
        <v>0</v>
      </c>
    </row>
    <row r="4041" spans="1:10" ht="15" hidden="1" thickBot="1" x14ac:dyDescent="0.35">
      <c r="A4041" s="227"/>
      <c r="B4041" s="224"/>
      <c r="C4041" s="32"/>
      <c r="D4041" s="32"/>
      <c r="E4041" s="33"/>
      <c r="F4041" s="54" t="s">
        <v>560</v>
      </c>
      <c r="G4041" s="54" t="str">
        <f t="shared" si="68"/>
        <v/>
      </c>
      <c r="H4041" s="73"/>
      <c r="I4041" s="74"/>
      <c r="J4041" s="155">
        <v>0</v>
      </c>
    </row>
    <row r="4042" spans="1:10" ht="15" hidden="1" thickBot="1" x14ac:dyDescent="0.35">
      <c r="A4042" s="227"/>
      <c r="B4042" s="224"/>
      <c r="C4042" s="36" t="s">
        <v>22</v>
      </c>
      <c r="D4042" s="36" t="s">
        <v>12</v>
      </c>
      <c r="E4042" s="37">
        <v>0.35</v>
      </c>
      <c r="F4042" s="54">
        <v>20.314999999999998</v>
      </c>
      <c r="G4042" s="54">
        <f t="shared" si="68"/>
        <v>7.1102499999999988</v>
      </c>
      <c r="H4042" s="39">
        <f>SUM(G4042:G4046)</f>
        <v>66.65232499999999</v>
      </c>
      <c r="I4042" s="40"/>
      <c r="J4042" s="155">
        <v>0</v>
      </c>
    </row>
    <row r="4043" spans="1:10" ht="15" hidden="1" thickBot="1" x14ac:dyDescent="0.35">
      <c r="A4043" s="227"/>
      <c r="B4043" s="224"/>
      <c r="C4043" s="36" t="s">
        <v>23</v>
      </c>
      <c r="D4043" s="36" t="s">
        <v>12</v>
      </c>
      <c r="E4043" s="37">
        <v>0.35</v>
      </c>
      <c r="F4043" s="54">
        <v>14.968499999999999</v>
      </c>
      <c r="G4043" s="54">
        <f t="shared" si="68"/>
        <v>5.238974999999999</v>
      </c>
      <c r="H4043" s="73"/>
      <c r="I4043" s="74"/>
      <c r="J4043" s="155">
        <v>0</v>
      </c>
    </row>
    <row r="4044" spans="1:10" ht="27" hidden="1" thickBot="1" x14ac:dyDescent="0.35">
      <c r="A4044" s="227"/>
      <c r="B4044" s="224"/>
      <c r="C4044" s="36" t="s">
        <v>1286</v>
      </c>
      <c r="D4044" s="36" t="s">
        <v>103</v>
      </c>
      <c r="E4044" s="37">
        <v>0.2</v>
      </c>
      <c r="F4044" s="54">
        <v>124.24449999999999</v>
      </c>
      <c r="G4044" s="54">
        <f t="shared" si="68"/>
        <v>24.8489</v>
      </c>
      <c r="H4044" s="73"/>
      <c r="I4044" s="74"/>
      <c r="J4044" s="155">
        <v>0</v>
      </c>
    </row>
    <row r="4045" spans="1:10" ht="15" hidden="1" thickBot="1" x14ac:dyDescent="0.35">
      <c r="A4045" s="227"/>
      <c r="B4045" s="224"/>
      <c r="C4045" s="36" t="s">
        <v>1105</v>
      </c>
      <c r="D4045" s="36" t="s">
        <v>93</v>
      </c>
      <c r="E4045" s="37">
        <v>1</v>
      </c>
      <c r="F4045" s="54">
        <v>16.440020000000001</v>
      </c>
      <c r="G4045" s="54">
        <f t="shared" si="68"/>
        <v>16.440020000000001</v>
      </c>
      <c r="H4045" s="73"/>
      <c r="I4045" s="74"/>
      <c r="J4045" s="155">
        <v>0</v>
      </c>
    </row>
    <row r="4046" spans="1:10" ht="27" hidden="1" thickBot="1" x14ac:dyDescent="0.35">
      <c r="A4046" s="227"/>
      <c r="B4046" s="224"/>
      <c r="C4046" s="36" t="s">
        <v>817</v>
      </c>
      <c r="D4046" s="36" t="s">
        <v>42</v>
      </c>
      <c r="E4046" s="37">
        <f>1.8*1*(0.01+0.01)*10</f>
        <v>0.36000000000000004</v>
      </c>
      <c r="F4046" s="54">
        <v>36.150500000000001</v>
      </c>
      <c r="G4046" s="54">
        <f t="shared" si="68"/>
        <v>13.014180000000001</v>
      </c>
      <c r="H4046" s="73"/>
      <c r="I4046" s="74"/>
      <c r="J4046" s="155">
        <v>0</v>
      </c>
    </row>
    <row r="4047" spans="1:10" ht="15" hidden="1" thickBot="1" x14ac:dyDescent="0.35">
      <c r="A4047" s="227"/>
      <c r="B4047" s="224"/>
      <c r="C4047" s="36"/>
      <c r="D4047" s="36"/>
      <c r="E4047" s="37"/>
      <c r="F4047" s="54" t="s">
        <v>560</v>
      </c>
      <c r="G4047" s="54"/>
      <c r="H4047" s="73"/>
      <c r="I4047" s="74"/>
      <c r="J4047" s="155">
        <v>0</v>
      </c>
    </row>
    <row r="4048" spans="1:10" ht="15" hidden="1" thickBot="1" x14ac:dyDescent="0.35">
      <c r="A4048" s="227"/>
      <c r="B4048" s="224"/>
      <c r="C4048" s="48" t="s">
        <v>1943</v>
      </c>
      <c r="D4048" s="36"/>
      <c r="E4048" s="37"/>
      <c r="F4048" s="54" t="s">
        <v>560</v>
      </c>
      <c r="G4048" s="54"/>
      <c r="H4048" s="73"/>
      <c r="I4048" s="74"/>
      <c r="J4048" s="155">
        <v>0</v>
      </c>
    </row>
    <row r="4049" spans="1:10" ht="15" hidden="1" thickBot="1" x14ac:dyDescent="0.35">
      <c r="A4049" s="227"/>
      <c r="B4049" s="224"/>
      <c r="C4049" s="48" t="s">
        <v>1944</v>
      </c>
      <c r="D4049" s="36"/>
      <c r="E4049" s="37"/>
      <c r="F4049" s="54" t="s">
        <v>560</v>
      </c>
      <c r="G4049" s="54"/>
      <c r="H4049" s="73"/>
      <c r="I4049" s="74"/>
      <c r="J4049" s="155">
        <v>0</v>
      </c>
    </row>
    <row r="4050" spans="1:10" ht="15" hidden="1" thickBot="1" x14ac:dyDescent="0.35">
      <c r="A4050" s="228"/>
      <c r="B4050" s="225"/>
      <c r="C4050" s="55"/>
      <c r="D4050" s="55"/>
      <c r="E4050" s="66"/>
      <c r="F4050" s="76" t="s">
        <v>560</v>
      </c>
      <c r="G4050" s="76" t="str">
        <f t="shared" ref="G4050:G4113" si="69">IF(ISNUMBER(F4050),E4050*F4050,"")</f>
        <v/>
      </c>
      <c r="H4050" s="77"/>
      <c r="I4050" s="74"/>
      <c r="J4050" s="155">
        <v>0</v>
      </c>
    </row>
    <row r="4051" spans="1:10" ht="15" hidden="1" thickBot="1" x14ac:dyDescent="0.35">
      <c r="A4051" s="226" t="s">
        <v>1287</v>
      </c>
      <c r="B4051" s="223" t="e">
        <f>INDEX(#REF!,MATCH(Composições!A4051,#REF!,0),2)</f>
        <v>#REF!</v>
      </c>
      <c r="C4051" s="41"/>
      <c r="D4051" s="26" t="e">
        <f>TRIM(INDEX(#REF!,MATCH(Composições!A4051,#REF!,0),1))</f>
        <v>#REF!</v>
      </c>
      <c r="E4051" s="27"/>
      <c r="F4051" s="49" t="s">
        <v>560</v>
      </c>
      <c r="G4051" s="28" t="str">
        <f t="shared" si="69"/>
        <v/>
      </c>
      <c r="H4051" s="29"/>
      <c r="I4051" s="30"/>
      <c r="J4051" s="155">
        <v>0</v>
      </c>
    </row>
    <row r="4052" spans="1:10" ht="15" hidden="1" thickBot="1" x14ac:dyDescent="0.35">
      <c r="A4052" s="227"/>
      <c r="B4052" s="224"/>
      <c r="C4052" s="32"/>
      <c r="D4052" s="32"/>
      <c r="E4052" s="33"/>
      <c r="F4052" s="54" t="s">
        <v>560</v>
      </c>
      <c r="G4052" s="54" t="str">
        <f t="shared" si="69"/>
        <v/>
      </c>
      <c r="H4052" s="73"/>
      <c r="I4052" s="74"/>
      <c r="J4052" s="155">
        <v>0</v>
      </c>
    </row>
    <row r="4053" spans="1:10" ht="15" hidden="1" thickBot="1" x14ac:dyDescent="0.35">
      <c r="A4053" s="227"/>
      <c r="B4053" s="224"/>
      <c r="C4053" s="36" t="s">
        <v>22</v>
      </c>
      <c r="D4053" s="36" t="s">
        <v>12</v>
      </c>
      <c r="E4053" s="37">
        <v>0.3</v>
      </c>
      <c r="F4053" s="54">
        <v>20.314999999999998</v>
      </c>
      <c r="G4053" s="54">
        <f t="shared" si="69"/>
        <v>6.0944999999999991</v>
      </c>
      <c r="H4053" s="39">
        <f>SUM(G4053:G4058)</f>
        <v>14.327175</v>
      </c>
      <c r="I4053" s="40"/>
      <c r="J4053" s="155">
        <v>0</v>
      </c>
    </row>
    <row r="4054" spans="1:10" ht="15" hidden="1" thickBot="1" x14ac:dyDescent="0.35">
      <c r="A4054" s="227"/>
      <c r="B4054" s="224"/>
      <c r="C4054" s="36" t="s">
        <v>23</v>
      </c>
      <c r="D4054" s="36" t="s">
        <v>12</v>
      </c>
      <c r="E4054" s="37">
        <f>0.3+0.25</f>
        <v>0.55000000000000004</v>
      </c>
      <c r="F4054" s="54">
        <v>14.968499999999999</v>
      </c>
      <c r="G4054" s="54">
        <f t="shared" si="69"/>
        <v>8.2326750000000004</v>
      </c>
      <c r="H4054" s="73"/>
      <c r="I4054" s="74"/>
      <c r="J4054" s="155">
        <v>0</v>
      </c>
    </row>
    <row r="4055" spans="1:10" ht="15" hidden="1" thickBot="1" x14ac:dyDescent="0.35">
      <c r="A4055" s="227"/>
      <c r="B4055" s="224"/>
      <c r="C4055" s="36" t="s">
        <v>1937</v>
      </c>
      <c r="D4055" s="36" t="s">
        <v>42</v>
      </c>
      <c r="E4055" s="37">
        <v>5</v>
      </c>
      <c r="F4055" s="54" t="s">
        <v>560</v>
      </c>
      <c r="G4055" s="54" t="str">
        <f t="shared" si="69"/>
        <v/>
      </c>
      <c r="H4055" s="73"/>
      <c r="I4055" s="74"/>
      <c r="J4055" s="155">
        <v>0</v>
      </c>
    </row>
    <row r="4056" spans="1:10" ht="15" hidden="1" thickBot="1" x14ac:dyDescent="0.35">
      <c r="A4056" s="227"/>
      <c r="B4056" s="224"/>
      <c r="C4056" s="36" t="s">
        <v>1938</v>
      </c>
      <c r="D4056" s="36" t="s">
        <v>42</v>
      </c>
      <c r="E4056" s="37">
        <v>0.5</v>
      </c>
      <c r="F4056" s="54" t="s">
        <v>560</v>
      </c>
      <c r="G4056" s="54" t="str">
        <f t="shared" si="69"/>
        <v/>
      </c>
      <c r="H4056" s="73"/>
      <c r="I4056" s="74"/>
      <c r="J4056" s="155">
        <v>0</v>
      </c>
    </row>
    <row r="4057" spans="1:10" ht="15" hidden="1" thickBot="1" x14ac:dyDescent="0.35">
      <c r="A4057" s="227"/>
      <c r="B4057" s="224"/>
      <c r="C4057" s="36" t="s">
        <v>1939</v>
      </c>
      <c r="D4057" s="36" t="s">
        <v>42</v>
      </c>
      <c r="E4057" s="37">
        <v>0.1</v>
      </c>
      <c r="F4057" s="54" t="s">
        <v>560</v>
      </c>
      <c r="G4057" s="54" t="str">
        <f t="shared" si="69"/>
        <v/>
      </c>
      <c r="H4057" s="73"/>
      <c r="I4057" s="74"/>
      <c r="J4057" s="155">
        <v>0</v>
      </c>
    </row>
    <row r="4058" spans="1:10" ht="15" hidden="1" thickBot="1" x14ac:dyDescent="0.35">
      <c r="A4058" s="227"/>
      <c r="B4058" s="224"/>
      <c r="C4058" s="36" t="s">
        <v>1288</v>
      </c>
      <c r="D4058" s="36" t="s">
        <v>292</v>
      </c>
      <c r="E4058" s="37">
        <v>0.5</v>
      </c>
      <c r="F4058" s="54">
        <v>0</v>
      </c>
      <c r="G4058" s="54">
        <f t="shared" si="69"/>
        <v>0</v>
      </c>
      <c r="H4058" s="73"/>
      <c r="I4058" s="74"/>
      <c r="J4058" s="155">
        <v>0</v>
      </c>
    </row>
    <row r="4059" spans="1:10" ht="15" hidden="1" thickBot="1" x14ac:dyDescent="0.35">
      <c r="A4059" s="227"/>
      <c r="B4059" s="224"/>
      <c r="C4059" s="36"/>
      <c r="D4059" s="36"/>
      <c r="E4059" s="37"/>
      <c r="F4059" s="54" t="s">
        <v>560</v>
      </c>
      <c r="G4059" s="54" t="str">
        <f t="shared" si="69"/>
        <v/>
      </c>
      <c r="H4059" s="73"/>
      <c r="I4059" s="74"/>
      <c r="J4059" s="155">
        <v>0</v>
      </c>
    </row>
    <row r="4060" spans="1:10" ht="15" hidden="1" thickBot="1" x14ac:dyDescent="0.35">
      <c r="A4060" s="227"/>
      <c r="B4060" s="224"/>
      <c r="C4060" s="48" t="s">
        <v>1289</v>
      </c>
      <c r="D4060" s="36"/>
      <c r="E4060" s="37"/>
      <c r="F4060" s="54" t="s">
        <v>560</v>
      </c>
      <c r="G4060" s="54" t="str">
        <f t="shared" si="69"/>
        <v/>
      </c>
      <c r="H4060" s="73"/>
      <c r="I4060" s="74"/>
      <c r="J4060" s="155">
        <v>0</v>
      </c>
    </row>
    <row r="4061" spans="1:10" ht="15" hidden="1" thickBot="1" x14ac:dyDescent="0.35">
      <c r="A4061" s="228"/>
      <c r="B4061" s="225"/>
      <c r="C4061" s="55"/>
      <c r="D4061" s="55"/>
      <c r="E4061" s="66"/>
      <c r="F4061" s="54" t="s">
        <v>560</v>
      </c>
      <c r="G4061" s="54" t="str">
        <f t="shared" si="69"/>
        <v/>
      </c>
      <c r="H4061" s="77"/>
      <c r="I4061" s="74"/>
      <c r="J4061" s="155">
        <v>0</v>
      </c>
    </row>
    <row r="4062" spans="1:10" ht="15" hidden="1" thickBot="1" x14ac:dyDescent="0.35">
      <c r="A4062" s="226" t="s">
        <v>1290</v>
      </c>
      <c r="B4062" s="223" t="e">
        <f>INDEX(#REF!,MATCH(Composições!A4062,#REF!,0),2)</f>
        <v>#REF!</v>
      </c>
      <c r="C4062" s="41"/>
      <c r="D4062" s="26" t="e">
        <f>TRIM(INDEX(#REF!,MATCH(Composições!A4062,#REF!,0),1))</f>
        <v>#REF!</v>
      </c>
      <c r="E4062" s="27"/>
      <c r="F4062" s="49" t="s">
        <v>560</v>
      </c>
      <c r="G4062" s="28" t="str">
        <f t="shared" si="69"/>
        <v/>
      </c>
      <c r="H4062" s="29"/>
      <c r="I4062" s="30"/>
      <c r="J4062" s="155">
        <v>0</v>
      </c>
    </row>
    <row r="4063" spans="1:10" ht="15" hidden="1" thickBot="1" x14ac:dyDescent="0.35">
      <c r="A4063" s="227"/>
      <c r="B4063" s="224"/>
      <c r="C4063" s="32"/>
      <c r="D4063" s="32"/>
      <c r="E4063" s="33"/>
      <c r="F4063" s="54" t="s">
        <v>560</v>
      </c>
      <c r="G4063" s="54" t="str">
        <f t="shared" si="69"/>
        <v/>
      </c>
      <c r="H4063" s="73"/>
      <c r="I4063" s="74"/>
      <c r="J4063" s="155">
        <v>0</v>
      </c>
    </row>
    <row r="4064" spans="1:10" ht="15" hidden="1" thickBot="1" x14ac:dyDescent="0.35">
      <c r="A4064" s="227"/>
      <c r="B4064" s="224"/>
      <c r="C4064" s="36" t="s">
        <v>1291</v>
      </c>
      <c r="D4064" s="36" t="s">
        <v>95</v>
      </c>
      <c r="E4064" s="37">
        <v>1</v>
      </c>
      <c r="F4064" s="54">
        <v>0</v>
      </c>
      <c r="G4064" s="54">
        <f t="shared" si="69"/>
        <v>0</v>
      </c>
      <c r="H4064" s="39">
        <f>SUM(G4064:G4064)</f>
        <v>0</v>
      </c>
      <c r="I4064" s="40"/>
      <c r="J4064" s="155">
        <v>0</v>
      </c>
    </row>
    <row r="4065" spans="1:10" ht="15" hidden="1" thickBot="1" x14ac:dyDescent="0.35">
      <c r="A4065" s="228"/>
      <c r="B4065" s="225"/>
      <c r="C4065" s="55"/>
      <c r="D4065" s="55"/>
      <c r="E4065" s="66"/>
      <c r="F4065" s="76" t="s">
        <v>560</v>
      </c>
      <c r="G4065" s="76" t="str">
        <f t="shared" si="69"/>
        <v/>
      </c>
      <c r="H4065" s="77"/>
      <c r="I4065" s="74"/>
      <c r="J4065" s="155">
        <v>0</v>
      </c>
    </row>
    <row r="4066" spans="1:10" ht="15" hidden="1" thickBot="1" x14ac:dyDescent="0.35">
      <c r="A4066" s="226" t="s">
        <v>1292</v>
      </c>
      <c r="B4066" s="223" t="e">
        <f>INDEX(#REF!,MATCH(Composições!A4066,#REF!,0),2)</f>
        <v>#REF!</v>
      </c>
      <c r="C4066" s="41"/>
      <c r="D4066" s="26" t="e">
        <f>TRIM(INDEX(#REF!,MATCH(Composições!A4066,#REF!,0),1))</f>
        <v>#REF!</v>
      </c>
      <c r="E4066" s="27"/>
      <c r="F4066" s="49" t="s">
        <v>560</v>
      </c>
      <c r="G4066" s="28" t="str">
        <f t="shared" si="69"/>
        <v/>
      </c>
      <c r="H4066" s="29"/>
      <c r="I4066" s="30"/>
      <c r="J4066" s="155">
        <v>0</v>
      </c>
    </row>
    <row r="4067" spans="1:10" ht="15" hidden="1" thickBot="1" x14ac:dyDescent="0.35">
      <c r="A4067" s="227"/>
      <c r="B4067" s="224"/>
      <c r="C4067" s="32"/>
      <c r="D4067" s="32"/>
      <c r="E4067" s="33"/>
      <c r="F4067" s="54" t="s">
        <v>560</v>
      </c>
      <c r="G4067" s="54" t="str">
        <f t="shared" si="69"/>
        <v/>
      </c>
      <c r="H4067" s="73"/>
      <c r="I4067" s="74"/>
      <c r="J4067" s="155">
        <v>0</v>
      </c>
    </row>
    <row r="4068" spans="1:10" ht="27" hidden="1" thickBot="1" x14ac:dyDescent="0.35">
      <c r="A4068" s="227"/>
      <c r="B4068" s="224"/>
      <c r="C4068" s="36" t="s">
        <v>1293</v>
      </c>
      <c r="D4068" s="47" t="s">
        <v>1035</v>
      </c>
      <c r="E4068" s="37">
        <v>1.05</v>
      </c>
      <c r="F4068" s="54">
        <v>123.33499999999999</v>
      </c>
      <c r="G4068" s="54">
        <f t="shared" si="69"/>
        <v>129.50174999999999</v>
      </c>
      <c r="H4068" s="39">
        <f>SUM(G4068:G4071)</f>
        <v>155.64524334999999</v>
      </c>
      <c r="I4068" s="40"/>
      <c r="J4068" s="155">
        <v>0</v>
      </c>
    </row>
    <row r="4069" spans="1:10" ht="15" hidden="1" thickBot="1" x14ac:dyDescent="0.35">
      <c r="A4069" s="227"/>
      <c r="B4069" s="224"/>
      <c r="C4069" s="36" t="s">
        <v>1294</v>
      </c>
      <c r="D4069" s="47" t="s">
        <v>103</v>
      </c>
      <c r="E4069" s="37">
        <v>0.57499999999999996</v>
      </c>
      <c r="F4069" s="54">
        <v>15.657000000000002</v>
      </c>
      <c r="G4069" s="54">
        <f t="shared" si="69"/>
        <v>9.0027749999999997</v>
      </c>
      <c r="H4069" s="73"/>
      <c r="I4069" s="74"/>
      <c r="J4069" s="155">
        <v>0</v>
      </c>
    </row>
    <row r="4070" spans="1:10" ht="15" hidden="1" thickBot="1" x14ac:dyDescent="0.35">
      <c r="A4070" s="227"/>
      <c r="B4070" s="224"/>
      <c r="C4070" s="36" t="s">
        <v>745</v>
      </c>
      <c r="D4070" s="36" t="s">
        <v>744</v>
      </c>
      <c r="E4070" s="37">
        <v>0.2399</v>
      </c>
      <c r="F4070" s="54">
        <v>14.968499999999999</v>
      </c>
      <c r="G4070" s="54">
        <f t="shared" si="69"/>
        <v>3.5909431499999998</v>
      </c>
      <c r="H4070" s="73"/>
      <c r="I4070" s="74"/>
      <c r="J4070" s="155">
        <v>0</v>
      </c>
    </row>
    <row r="4071" spans="1:10" ht="15" hidden="1" thickBot="1" x14ac:dyDescent="0.35">
      <c r="A4071" s="227"/>
      <c r="B4071" s="224"/>
      <c r="C4071" s="36" t="s">
        <v>1272</v>
      </c>
      <c r="D4071" s="36" t="s">
        <v>744</v>
      </c>
      <c r="E4071" s="37">
        <v>0.57589999999999997</v>
      </c>
      <c r="F4071" s="54">
        <v>23.527999999999999</v>
      </c>
      <c r="G4071" s="54">
        <f t="shared" si="69"/>
        <v>13.549775199999999</v>
      </c>
      <c r="H4071" s="73"/>
      <c r="I4071" s="74"/>
      <c r="J4071" s="155">
        <v>0</v>
      </c>
    </row>
    <row r="4072" spans="1:10" ht="15" hidden="1" thickBot="1" x14ac:dyDescent="0.35">
      <c r="A4072" s="227"/>
      <c r="B4072" s="224"/>
      <c r="C4072" s="55"/>
      <c r="D4072" s="55"/>
      <c r="E4072" s="66"/>
      <c r="F4072" s="76" t="s">
        <v>560</v>
      </c>
      <c r="G4072" s="76" t="str">
        <f t="shared" si="69"/>
        <v/>
      </c>
      <c r="H4072" s="77"/>
      <c r="I4072" s="74"/>
      <c r="J4072" s="155">
        <v>0</v>
      </c>
    </row>
    <row r="4073" spans="1:10" ht="15" hidden="1" thickBot="1" x14ac:dyDescent="0.35">
      <c r="A4073" s="226" t="s">
        <v>1295</v>
      </c>
      <c r="B4073" s="223" t="e">
        <f>INDEX(#REF!,MATCH(Composições!A4073,#REF!,0),2)</f>
        <v>#REF!</v>
      </c>
      <c r="C4073" s="41"/>
      <c r="D4073" s="26" t="e">
        <f>TRIM(INDEX(#REF!,MATCH(Composições!A4073,#REF!,0),1))</f>
        <v>#REF!</v>
      </c>
      <c r="E4073" s="27"/>
      <c r="F4073" s="49" t="s">
        <v>560</v>
      </c>
      <c r="G4073" s="28" t="str">
        <f t="shared" si="69"/>
        <v/>
      </c>
      <c r="H4073" s="29"/>
      <c r="I4073" s="30"/>
      <c r="J4073" s="155">
        <v>0</v>
      </c>
    </row>
    <row r="4074" spans="1:10" ht="15" hidden="1" thickBot="1" x14ac:dyDescent="0.35">
      <c r="A4074" s="227"/>
      <c r="B4074" s="224"/>
      <c r="C4074" s="32"/>
      <c r="D4074" s="32"/>
      <c r="E4074" s="33"/>
      <c r="F4074" s="54" t="s">
        <v>560</v>
      </c>
      <c r="G4074" s="54" t="str">
        <f t="shared" si="69"/>
        <v/>
      </c>
      <c r="H4074" s="73"/>
      <c r="I4074" s="74"/>
      <c r="J4074" s="155">
        <v>0</v>
      </c>
    </row>
    <row r="4075" spans="1:10" ht="15" hidden="1" thickBot="1" x14ac:dyDescent="0.35">
      <c r="A4075" s="227"/>
      <c r="B4075" s="224"/>
      <c r="C4075" s="36" t="s">
        <v>298</v>
      </c>
      <c r="D4075" s="47" t="s">
        <v>939</v>
      </c>
      <c r="E4075" s="37">
        <v>0.56369999999999998</v>
      </c>
      <c r="F4075" s="54">
        <v>22.797000000000001</v>
      </c>
      <c r="G4075" s="54">
        <f t="shared" si="69"/>
        <v>12.850668900000001</v>
      </c>
      <c r="H4075" s="39">
        <f>SUM(G4075:G4078)</f>
        <v>83.274065649999997</v>
      </c>
      <c r="I4075" s="40"/>
      <c r="J4075" s="155">
        <v>0</v>
      </c>
    </row>
    <row r="4076" spans="1:10" ht="27" hidden="1" thickBot="1" x14ac:dyDescent="0.35">
      <c r="A4076" s="227"/>
      <c r="B4076" s="224"/>
      <c r="C4076" s="36" t="s">
        <v>1816</v>
      </c>
      <c r="D4076" s="47" t="s">
        <v>1035</v>
      </c>
      <c r="E4076" s="37">
        <v>1.06</v>
      </c>
      <c r="F4076" s="54">
        <v>54.323499999999996</v>
      </c>
      <c r="G4076" s="54">
        <f t="shared" si="69"/>
        <v>57.582909999999998</v>
      </c>
      <c r="H4076" s="73"/>
      <c r="I4076" s="74"/>
      <c r="J4076" s="155">
        <v>0</v>
      </c>
    </row>
    <row r="4077" spans="1:10" ht="15" hidden="1" thickBot="1" x14ac:dyDescent="0.35">
      <c r="A4077" s="227"/>
      <c r="B4077" s="224"/>
      <c r="C4077" s="36" t="s">
        <v>752</v>
      </c>
      <c r="D4077" s="36" t="s">
        <v>744</v>
      </c>
      <c r="E4077" s="37">
        <v>0.48359999999999997</v>
      </c>
      <c r="F4077" s="54">
        <v>20.314999999999998</v>
      </c>
      <c r="G4077" s="54">
        <f t="shared" si="69"/>
        <v>9.8243339999999986</v>
      </c>
      <c r="H4077" s="73"/>
      <c r="I4077" s="74"/>
      <c r="J4077" s="155">
        <v>0</v>
      </c>
    </row>
    <row r="4078" spans="1:10" ht="15" hidden="1" thickBot="1" x14ac:dyDescent="0.35">
      <c r="A4078" s="227"/>
      <c r="B4078" s="224"/>
      <c r="C4078" s="36" t="s">
        <v>745</v>
      </c>
      <c r="D4078" s="36" t="s">
        <v>744</v>
      </c>
      <c r="E4078" s="37">
        <v>0.20150000000000001</v>
      </c>
      <c r="F4078" s="54">
        <v>14.968499999999999</v>
      </c>
      <c r="G4078" s="54">
        <f t="shared" si="69"/>
        <v>3.0161527499999998</v>
      </c>
      <c r="H4078" s="73"/>
      <c r="I4078" s="74"/>
      <c r="J4078" s="155">
        <v>0</v>
      </c>
    </row>
    <row r="4079" spans="1:10" ht="15" hidden="1" thickBot="1" x14ac:dyDescent="0.35">
      <c r="A4079" s="227"/>
      <c r="B4079" s="224"/>
      <c r="C4079" s="55"/>
      <c r="D4079" s="55"/>
      <c r="E4079" s="66"/>
      <c r="F4079" s="76" t="s">
        <v>560</v>
      </c>
      <c r="G4079" s="76" t="str">
        <f t="shared" si="69"/>
        <v/>
      </c>
      <c r="H4079" s="77"/>
      <c r="I4079" s="74"/>
      <c r="J4079" s="155">
        <v>0</v>
      </c>
    </row>
    <row r="4080" spans="1:10" ht="15" hidden="1" thickBot="1" x14ac:dyDescent="0.35">
      <c r="A4080" s="226" t="s">
        <v>1296</v>
      </c>
      <c r="B4080" s="223" t="e">
        <f>INDEX(#REF!,MATCH(Composições!A4080,#REF!,0),2)</f>
        <v>#REF!</v>
      </c>
      <c r="C4080" s="41"/>
      <c r="D4080" s="26" t="e">
        <f>TRIM(INDEX(#REF!,MATCH(Composições!A4080,#REF!,0),1))</f>
        <v>#REF!</v>
      </c>
      <c r="E4080" s="27"/>
      <c r="F4080" s="49" t="s">
        <v>560</v>
      </c>
      <c r="G4080" s="28" t="str">
        <f t="shared" si="69"/>
        <v/>
      </c>
      <c r="H4080" s="29"/>
      <c r="I4080" s="30"/>
      <c r="J4080" s="155">
        <v>0</v>
      </c>
    </row>
    <row r="4081" spans="1:10" ht="15" hidden="1" thickBot="1" x14ac:dyDescent="0.35">
      <c r="A4081" s="227"/>
      <c r="B4081" s="224"/>
      <c r="C4081" s="32"/>
      <c r="D4081" s="32"/>
      <c r="E4081" s="33"/>
      <c r="F4081" s="54" t="s">
        <v>560</v>
      </c>
      <c r="G4081" s="54" t="str">
        <f t="shared" si="69"/>
        <v/>
      </c>
      <c r="H4081" s="73"/>
      <c r="I4081" s="74"/>
      <c r="J4081" s="155">
        <v>0</v>
      </c>
    </row>
    <row r="4082" spans="1:10" ht="27" hidden="1" thickBot="1" x14ac:dyDescent="0.35">
      <c r="A4082" s="227"/>
      <c r="B4082" s="224"/>
      <c r="C4082" s="36" t="s">
        <v>1297</v>
      </c>
      <c r="D4082" s="47" t="s">
        <v>1035</v>
      </c>
      <c r="E4082" s="37">
        <v>1.05</v>
      </c>
      <c r="F4082" s="54" t="s">
        <v>560</v>
      </c>
      <c r="G4082" s="54" t="str">
        <f t="shared" si="69"/>
        <v/>
      </c>
      <c r="H4082" s="39">
        <f>SUM(G4082:G4084)</f>
        <v>13.075785789999998</v>
      </c>
      <c r="I4082" s="40"/>
      <c r="J4082" s="155">
        <v>0</v>
      </c>
    </row>
    <row r="4083" spans="1:10" ht="15" hidden="1" thickBot="1" x14ac:dyDescent="0.35">
      <c r="A4083" s="227"/>
      <c r="B4083" s="224"/>
      <c r="C4083" s="36" t="s">
        <v>745</v>
      </c>
      <c r="D4083" s="36" t="s">
        <v>744</v>
      </c>
      <c r="E4083" s="37">
        <v>0.2399</v>
      </c>
      <c r="F4083" s="54">
        <v>14.968499999999999</v>
      </c>
      <c r="G4083" s="54">
        <f t="shared" si="69"/>
        <v>3.5909431499999998</v>
      </c>
      <c r="H4083" s="73"/>
      <c r="I4083" s="74"/>
      <c r="J4083" s="155">
        <v>0</v>
      </c>
    </row>
    <row r="4084" spans="1:10" ht="15" hidden="1" thickBot="1" x14ac:dyDescent="0.35">
      <c r="A4084" s="227"/>
      <c r="B4084" s="224"/>
      <c r="C4084" s="36" t="s">
        <v>1272</v>
      </c>
      <c r="D4084" s="36" t="s">
        <v>744</v>
      </c>
      <c r="E4084" s="37">
        <f>0.5759*0.7</f>
        <v>0.40312999999999993</v>
      </c>
      <c r="F4084" s="54">
        <v>23.527999999999999</v>
      </c>
      <c r="G4084" s="54">
        <f t="shared" si="69"/>
        <v>9.4848426399999983</v>
      </c>
      <c r="H4084" s="73"/>
      <c r="I4084" s="74"/>
      <c r="J4084" s="155">
        <v>0</v>
      </c>
    </row>
    <row r="4085" spans="1:10" ht="15" hidden="1" thickBot="1" x14ac:dyDescent="0.35">
      <c r="A4085" s="227"/>
      <c r="B4085" s="224"/>
      <c r="C4085" s="55"/>
      <c r="D4085" s="55"/>
      <c r="E4085" s="66"/>
      <c r="F4085" s="76" t="s">
        <v>560</v>
      </c>
      <c r="G4085" s="76" t="str">
        <f t="shared" si="69"/>
        <v/>
      </c>
      <c r="H4085" s="77"/>
      <c r="I4085" s="74"/>
      <c r="J4085" s="155">
        <v>0</v>
      </c>
    </row>
    <row r="4086" spans="1:10" ht="15" hidden="1" thickBot="1" x14ac:dyDescent="0.35">
      <c r="A4086" s="226" t="s">
        <v>1298</v>
      </c>
      <c r="B4086" s="223" t="e">
        <f>INDEX(#REF!,MATCH(Composições!A4086,#REF!,0),2)</f>
        <v>#REF!</v>
      </c>
      <c r="C4086" s="41"/>
      <c r="D4086" s="26" t="e">
        <f>TRIM(INDEX(#REF!,MATCH(Composições!A4086,#REF!,0),1))</f>
        <v>#REF!</v>
      </c>
      <c r="E4086" s="27"/>
      <c r="F4086" s="49" t="s">
        <v>560</v>
      </c>
      <c r="G4086" s="28" t="str">
        <f t="shared" si="69"/>
        <v/>
      </c>
      <c r="H4086" s="29"/>
      <c r="I4086" s="30"/>
      <c r="J4086" s="155">
        <v>0</v>
      </c>
    </row>
    <row r="4087" spans="1:10" ht="15" hidden="1" thickBot="1" x14ac:dyDescent="0.35">
      <c r="A4087" s="227"/>
      <c r="B4087" s="224"/>
      <c r="C4087" s="32"/>
      <c r="D4087" s="32"/>
      <c r="E4087" s="33"/>
      <c r="F4087" s="54" t="s">
        <v>560</v>
      </c>
      <c r="G4087" s="54" t="str">
        <f t="shared" si="69"/>
        <v/>
      </c>
      <c r="H4087" s="73"/>
      <c r="I4087" s="74"/>
      <c r="J4087" s="155">
        <v>0</v>
      </c>
    </row>
    <row r="4088" spans="1:10" ht="27" hidden="1" thickBot="1" x14ac:dyDescent="0.35">
      <c r="A4088" s="227"/>
      <c r="B4088" s="224"/>
      <c r="C4088" s="36" t="s">
        <v>1299</v>
      </c>
      <c r="D4088" s="36" t="s">
        <v>95</v>
      </c>
      <c r="E4088" s="37">
        <v>1.05</v>
      </c>
      <c r="F4088" s="54" t="s">
        <v>560</v>
      </c>
      <c r="G4088" s="54" t="str">
        <f t="shared" si="69"/>
        <v/>
      </c>
      <c r="H4088" s="39">
        <f>SUM(G4088:G4090)</f>
        <v>7.4046900000000004</v>
      </c>
      <c r="I4088" s="40"/>
      <c r="J4088" s="155">
        <v>0</v>
      </c>
    </row>
    <row r="4089" spans="1:10" ht="15" hidden="1" thickBot="1" x14ac:dyDescent="0.35">
      <c r="A4089" s="227"/>
      <c r="B4089" s="224"/>
      <c r="C4089" s="36" t="s">
        <v>1272</v>
      </c>
      <c r="D4089" s="36" t="s">
        <v>744</v>
      </c>
      <c r="E4089" s="37">
        <v>0.15</v>
      </c>
      <c r="F4089" s="54">
        <v>23.527999999999999</v>
      </c>
      <c r="G4089" s="54">
        <f t="shared" si="69"/>
        <v>3.5291999999999999</v>
      </c>
      <c r="H4089" s="73"/>
      <c r="I4089" s="74"/>
      <c r="J4089" s="155">
        <v>0</v>
      </c>
    </row>
    <row r="4090" spans="1:10" ht="15" hidden="1" thickBot="1" x14ac:dyDescent="0.35">
      <c r="A4090" s="227"/>
      <c r="B4090" s="224"/>
      <c r="C4090" s="36" t="s">
        <v>298</v>
      </c>
      <c r="D4090" s="36" t="s">
        <v>42</v>
      </c>
      <c r="E4090" s="37">
        <v>0.17</v>
      </c>
      <c r="F4090" s="54">
        <v>22.797000000000001</v>
      </c>
      <c r="G4090" s="54">
        <f t="shared" si="69"/>
        <v>3.8754900000000005</v>
      </c>
      <c r="H4090" s="73"/>
      <c r="I4090" s="74"/>
      <c r="J4090" s="155">
        <v>0</v>
      </c>
    </row>
    <row r="4091" spans="1:10" ht="15" hidden="1" thickBot="1" x14ac:dyDescent="0.35">
      <c r="A4091" s="227"/>
      <c r="B4091" s="224"/>
      <c r="C4091" s="55"/>
      <c r="D4091" s="55"/>
      <c r="E4091" s="66"/>
      <c r="F4091" s="76" t="s">
        <v>560</v>
      </c>
      <c r="G4091" s="76" t="str">
        <f t="shared" si="69"/>
        <v/>
      </c>
      <c r="H4091" s="77"/>
      <c r="I4091" s="74"/>
      <c r="J4091" s="155">
        <v>0</v>
      </c>
    </row>
    <row r="4092" spans="1:10" ht="15" hidden="1" thickBot="1" x14ac:dyDescent="0.35">
      <c r="A4092" s="226" t="s">
        <v>1300</v>
      </c>
      <c r="B4092" s="223" t="e">
        <f>INDEX(#REF!,MATCH(Composições!A4092,#REF!,0),2)</f>
        <v>#REF!</v>
      </c>
      <c r="C4092" s="41"/>
      <c r="D4092" s="26" t="e">
        <f>TRIM(INDEX(#REF!,MATCH(Composições!A4092,#REF!,0),1))</f>
        <v>#REF!</v>
      </c>
      <c r="E4092" s="27"/>
      <c r="F4092" s="49" t="s">
        <v>560</v>
      </c>
      <c r="G4092" s="28" t="str">
        <f t="shared" si="69"/>
        <v/>
      </c>
      <c r="H4092" s="29"/>
      <c r="I4092" s="30"/>
      <c r="J4092" s="155">
        <v>0</v>
      </c>
    </row>
    <row r="4093" spans="1:10" ht="15" hidden="1" thickBot="1" x14ac:dyDescent="0.35">
      <c r="A4093" s="227"/>
      <c r="B4093" s="224"/>
      <c r="C4093" s="32"/>
      <c r="D4093" s="32"/>
      <c r="E4093" s="33"/>
      <c r="F4093" s="54" t="s">
        <v>560</v>
      </c>
      <c r="G4093" s="54" t="str">
        <f t="shared" si="69"/>
        <v/>
      </c>
      <c r="H4093" s="73"/>
      <c r="I4093" s="74"/>
      <c r="J4093" s="155">
        <v>0</v>
      </c>
    </row>
    <row r="4094" spans="1:10" ht="27" hidden="1" thickBot="1" x14ac:dyDescent="0.35">
      <c r="A4094" s="227"/>
      <c r="B4094" s="224"/>
      <c r="C4094" s="36" t="s">
        <v>1301</v>
      </c>
      <c r="D4094" s="36" t="s">
        <v>95</v>
      </c>
      <c r="E4094" s="37">
        <v>1.05</v>
      </c>
      <c r="F4094" s="54" t="s">
        <v>560</v>
      </c>
      <c r="G4094" s="54" t="str">
        <f t="shared" si="69"/>
        <v/>
      </c>
      <c r="H4094" s="39">
        <f>SUM(G4094:G4096)</f>
        <v>7.4046900000000004</v>
      </c>
      <c r="I4094" s="40"/>
      <c r="J4094" s="155">
        <v>0</v>
      </c>
    </row>
    <row r="4095" spans="1:10" ht="15" hidden="1" thickBot="1" x14ac:dyDescent="0.35">
      <c r="A4095" s="227"/>
      <c r="B4095" s="224"/>
      <c r="C4095" s="36" t="s">
        <v>1272</v>
      </c>
      <c r="D4095" s="36" t="s">
        <v>744</v>
      </c>
      <c r="E4095" s="37">
        <v>0.15</v>
      </c>
      <c r="F4095" s="54">
        <v>23.527999999999999</v>
      </c>
      <c r="G4095" s="54">
        <f t="shared" si="69"/>
        <v>3.5291999999999999</v>
      </c>
      <c r="H4095" s="73"/>
      <c r="I4095" s="74"/>
      <c r="J4095" s="155">
        <v>0</v>
      </c>
    </row>
    <row r="4096" spans="1:10" ht="15" hidden="1" thickBot="1" x14ac:dyDescent="0.35">
      <c r="A4096" s="227"/>
      <c r="B4096" s="224"/>
      <c r="C4096" s="36" t="s">
        <v>298</v>
      </c>
      <c r="D4096" s="36" t="s">
        <v>42</v>
      </c>
      <c r="E4096" s="37">
        <v>0.17</v>
      </c>
      <c r="F4096" s="54">
        <v>22.797000000000001</v>
      </c>
      <c r="G4096" s="54">
        <f t="shared" si="69"/>
        <v>3.8754900000000005</v>
      </c>
      <c r="H4096" s="73"/>
      <c r="I4096" s="74"/>
      <c r="J4096" s="155">
        <v>0</v>
      </c>
    </row>
    <row r="4097" spans="1:10" ht="15" hidden="1" thickBot="1" x14ac:dyDescent="0.35">
      <c r="A4097" s="227"/>
      <c r="B4097" s="224"/>
      <c r="C4097" s="55"/>
      <c r="D4097" s="55"/>
      <c r="E4097" s="66"/>
      <c r="F4097" s="76" t="s">
        <v>560</v>
      </c>
      <c r="G4097" s="76" t="str">
        <f t="shared" si="69"/>
        <v/>
      </c>
      <c r="H4097" s="77"/>
      <c r="I4097" s="74"/>
      <c r="J4097" s="155">
        <v>0</v>
      </c>
    </row>
    <row r="4098" spans="1:10" ht="15" hidden="1" thickBot="1" x14ac:dyDescent="0.35">
      <c r="A4098" s="226" t="s">
        <v>1302</v>
      </c>
      <c r="B4098" s="223" t="e">
        <f>INDEX(#REF!,MATCH(Composições!A4098,#REF!,0),2)</f>
        <v>#REF!</v>
      </c>
      <c r="C4098" s="41"/>
      <c r="D4098" s="26" t="e">
        <f>TRIM(INDEX(#REF!,MATCH(Composições!A4098,#REF!,0),1))</f>
        <v>#REF!</v>
      </c>
      <c r="E4098" s="27"/>
      <c r="F4098" s="49" t="s">
        <v>560</v>
      </c>
      <c r="G4098" s="28" t="str">
        <f t="shared" si="69"/>
        <v/>
      </c>
      <c r="H4098" s="29"/>
      <c r="I4098" s="30"/>
      <c r="J4098" s="155">
        <v>0</v>
      </c>
    </row>
    <row r="4099" spans="1:10" ht="15" hidden="1" thickBot="1" x14ac:dyDescent="0.35">
      <c r="A4099" s="227"/>
      <c r="B4099" s="224"/>
      <c r="C4099" s="32"/>
      <c r="D4099" s="32"/>
      <c r="E4099" s="33"/>
      <c r="F4099" s="54" t="s">
        <v>560</v>
      </c>
      <c r="G4099" s="54" t="str">
        <f t="shared" si="69"/>
        <v/>
      </c>
      <c r="H4099" s="73"/>
      <c r="I4099" s="74"/>
      <c r="J4099" s="155">
        <v>0</v>
      </c>
    </row>
    <row r="4100" spans="1:10" ht="15" hidden="1" thickBot="1" x14ac:dyDescent="0.35">
      <c r="A4100" s="227"/>
      <c r="B4100" s="224"/>
      <c r="C4100" s="36" t="s">
        <v>1303</v>
      </c>
      <c r="D4100" s="47" t="s">
        <v>939</v>
      </c>
      <c r="E4100" s="37">
        <v>2.5000000000000001E-2</v>
      </c>
      <c r="F4100" s="54">
        <v>27.760999999999996</v>
      </c>
      <c r="G4100" s="54">
        <f t="shared" si="69"/>
        <v>0.69402499999999989</v>
      </c>
      <c r="H4100" s="39">
        <f>SUM(G4100:G4106)</f>
        <v>31.456779600000004</v>
      </c>
      <c r="I4100" s="40"/>
      <c r="J4100" s="155">
        <v>0</v>
      </c>
    </row>
    <row r="4101" spans="1:10" ht="27" hidden="1" thickBot="1" x14ac:dyDescent="0.35">
      <c r="A4101" s="227"/>
      <c r="B4101" s="224"/>
      <c r="C4101" s="36" t="s">
        <v>2027</v>
      </c>
      <c r="D4101" s="47" t="s">
        <v>939</v>
      </c>
      <c r="E4101" s="37">
        <v>0.99639999999999995</v>
      </c>
      <c r="F4101" s="54">
        <v>0.33150000000000002</v>
      </c>
      <c r="G4101" s="54">
        <f t="shared" si="69"/>
        <v>0.33030660000000001</v>
      </c>
      <c r="H4101" s="73"/>
      <c r="I4101" s="74"/>
      <c r="J4101" s="155">
        <v>0</v>
      </c>
    </row>
    <row r="4102" spans="1:10" ht="27" hidden="1" thickBot="1" x14ac:dyDescent="0.35">
      <c r="A4102" s="227"/>
      <c r="B4102" s="224"/>
      <c r="C4102" s="36" t="s">
        <v>2033</v>
      </c>
      <c r="D4102" s="36" t="s">
        <v>1035</v>
      </c>
      <c r="E4102" s="37">
        <v>1.0293000000000001</v>
      </c>
      <c r="F4102" s="54">
        <v>7.5394999999999994</v>
      </c>
      <c r="G4102" s="54">
        <f t="shared" si="69"/>
        <v>7.7604073500000004</v>
      </c>
      <c r="H4102" s="73"/>
      <c r="I4102" s="74"/>
      <c r="J4102" s="155">
        <v>0</v>
      </c>
    </row>
    <row r="4103" spans="1:10" ht="15" hidden="1" thickBot="1" x14ac:dyDescent="0.35">
      <c r="A4103" s="227"/>
      <c r="B4103" s="224"/>
      <c r="C4103" s="36" t="s">
        <v>1304</v>
      </c>
      <c r="D4103" s="36" t="s">
        <v>939</v>
      </c>
      <c r="E4103" s="37">
        <v>7.7999999999999996E-3</v>
      </c>
      <c r="F4103" s="54">
        <v>14.577499999999999</v>
      </c>
      <c r="G4103" s="54">
        <f t="shared" si="69"/>
        <v>0.11370449999999999</v>
      </c>
      <c r="H4103" s="73"/>
      <c r="I4103" s="74"/>
      <c r="J4103" s="155">
        <v>0</v>
      </c>
    </row>
    <row r="4104" spans="1:10" ht="15" hidden="1" thickBot="1" x14ac:dyDescent="0.35">
      <c r="A4104" s="227"/>
      <c r="B4104" s="224"/>
      <c r="C4104" s="36" t="s">
        <v>278</v>
      </c>
      <c r="D4104" s="47" t="s">
        <v>1305</v>
      </c>
      <c r="E4104" s="37">
        <v>3.0800000000000001E-2</v>
      </c>
      <c r="F4104" s="54">
        <v>15.342499999999999</v>
      </c>
      <c r="G4104" s="54">
        <f t="shared" si="69"/>
        <v>0.472549</v>
      </c>
      <c r="H4104" s="73"/>
      <c r="I4104" s="74"/>
      <c r="J4104" s="155">
        <v>0</v>
      </c>
    </row>
    <row r="4105" spans="1:10" ht="15" hidden="1" thickBot="1" x14ac:dyDescent="0.35">
      <c r="A4105" s="227"/>
      <c r="B4105" s="224"/>
      <c r="C4105" s="36" t="s">
        <v>1306</v>
      </c>
      <c r="D4105" s="36" t="s">
        <v>744</v>
      </c>
      <c r="E4105" s="37">
        <v>0.7974</v>
      </c>
      <c r="F4105" s="54">
        <v>20.213000000000001</v>
      </c>
      <c r="G4105" s="54">
        <f t="shared" si="69"/>
        <v>16.117846200000002</v>
      </c>
      <c r="H4105" s="73"/>
      <c r="I4105" s="74"/>
      <c r="J4105" s="155">
        <v>0</v>
      </c>
    </row>
    <row r="4106" spans="1:10" ht="15" hidden="1" thickBot="1" x14ac:dyDescent="0.35">
      <c r="A4106" s="227"/>
      <c r="B4106" s="224"/>
      <c r="C4106" s="36" t="s">
        <v>745</v>
      </c>
      <c r="D4106" s="36" t="s">
        <v>744</v>
      </c>
      <c r="E4106" s="37">
        <v>0.3987</v>
      </c>
      <c r="F4106" s="54">
        <v>14.968499999999999</v>
      </c>
      <c r="G4106" s="54">
        <f t="shared" si="69"/>
        <v>5.9679409499999991</v>
      </c>
      <c r="H4106" s="73"/>
      <c r="I4106" s="74"/>
      <c r="J4106" s="155">
        <v>0</v>
      </c>
    </row>
    <row r="4107" spans="1:10" ht="15" hidden="1" thickBot="1" x14ac:dyDescent="0.35">
      <c r="A4107" s="227"/>
      <c r="B4107" s="224"/>
      <c r="C4107" s="55"/>
      <c r="D4107" s="55"/>
      <c r="E4107" s="66"/>
      <c r="F4107" s="76" t="s">
        <v>560</v>
      </c>
      <c r="G4107" s="76" t="str">
        <f t="shared" si="69"/>
        <v/>
      </c>
      <c r="H4107" s="77"/>
      <c r="I4107" s="74"/>
      <c r="J4107" s="155">
        <v>0</v>
      </c>
    </row>
    <row r="4108" spans="1:10" ht="15" hidden="1" thickBot="1" x14ac:dyDescent="0.35">
      <c r="A4108" s="226" t="s">
        <v>1307</v>
      </c>
      <c r="B4108" s="223" t="e">
        <f>INDEX(#REF!,MATCH(Composições!A4108,#REF!,0),2)</f>
        <v>#REF!</v>
      </c>
      <c r="C4108" s="41"/>
      <c r="D4108" s="26" t="e">
        <f>TRIM(INDEX(#REF!,MATCH(Composições!A4108,#REF!,0),1))</f>
        <v>#REF!</v>
      </c>
      <c r="E4108" s="27"/>
      <c r="F4108" s="49" t="s">
        <v>560</v>
      </c>
      <c r="G4108" s="28" t="str">
        <f t="shared" si="69"/>
        <v/>
      </c>
      <c r="H4108" s="29"/>
      <c r="I4108" s="30"/>
      <c r="J4108" s="155">
        <v>0</v>
      </c>
    </row>
    <row r="4109" spans="1:10" ht="15" hidden="1" thickBot="1" x14ac:dyDescent="0.35">
      <c r="A4109" s="227"/>
      <c r="B4109" s="224"/>
      <c r="C4109" s="32"/>
      <c r="D4109" s="32"/>
      <c r="E4109" s="33"/>
      <c r="F4109" s="54" t="s">
        <v>560</v>
      </c>
      <c r="G4109" s="54" t="str">
        <f t="shared" si="69"/>
        <v/>
      </c>
      <c r="H4109" s="73"/>
      <c r="I4109" s="74"/>
      <c r="J4109" s="155">
        <v>0</v>
      </c>
    </row>
    <row r="4110" spans="1:10" ht="27" hidden="1" thickBot="1" x14ac:dyDescent="0.35">
      <c r="A4110" s="227"/>
      <c r="B4110" s="224"/>
      <c r="C4110" s="36" t="s">
        <v>1308</v>
      </c>
      <c r="D4110" s="36" t="s">
        <v>939</v>
      </c>
      <c r="E4110" s="37">
        <v>1.1399999999999999</v>
      </c>
      <c r="F4110" s="54">
        <v>6.0519999999999996</v>
      </c>
      <c r="G4110" s="54">
        <f t="shared" si="69"/>
        <v>6.8992799999999992</v>
      </c>
      <c r="H4110" s="39">
        <f>SUM(G4110:G4112)</f>
        <v>11.9095285</v>
      </c>
      <c r="I4110" s="40"/>
      <c r="J4110" s="155">
        <v>0</v>
      </c>
    </row>
    <row r="4111" spans="1:10" ht="15" hidden="1" thickBot="1" x14ac:dyDescent="0.35">
      <c r="A4111" s="227"/>
      <c r="B4111" s="224"/>
      <c r="C4111" s="36" t="s">
        <v>1138</v>
      </c>
      <c r="D4111" s="36" t="s">
        <v>744</v>
      </c>
      <c r="E4111" s="37">
        <v>0.188</v>
      </c>
      <c r="F4111" s="54">
        <v>21.156500000000001</v>
      </c>
      <c r="G4111" s="54">
        <f t="shared" si="69"/>
        <v>3.9774220000000002</v>
      </c>
      <c r="H4111" s="73"/>
      <c r="I4111" s="74"/>
      <c r="J4111" s="155">
        <v>0</v>
      </c>
    </row>
    <row r="4112" spans="1:10" ht="15" hidden="1" thickBot="1" x14ac:dyDescent="0.35">
      <c r="A4112" s="227"/>
      <c r="B4112" s="224"/>
      <c r="C4112" s="36" t="s">
        <v>745</v>
      </c>
      <c r="D4112" s="36" t="s">
        <v>744</v>
      </c>
      <c r="E4112" s="37">
        <v>6.9000000000000006E-2</v>
      </c>
      <c r="F4112" s="54">
        <v>14.968499999999999</v>
      </c>
      <c r="G4112" s="54">
        <f t="shared" si="69"/>
        <v>1.0328265000000001</v>
      </c>
      <c r="H4112" s="73"/>
      <c r="I4112" s="74"/>
      <c r="J4112" s="155">
        <v>0</v>
      </c>
    </row>
    <row r="4113" spans="1:10" ht="15" hidden="1" thickBot="1" x14ac:dyDescent="0.35">
      <c r="A4113" s="227"/>
      <c r="B4113" s="224"/>
      <c r="C4113" s="55"/>
      <c r="D4113" s="55"/>
      <c r="E4113" s="66"/>
      <c r="F4113" s="76" t="s">
        <v>560</v>
      </c>
      <c r="G4113" s="76" t="str">
        <f t="shared" si="69"/>
        <v/>
      </c>
      <c r="H4113" s="77"/>
      <c r="I4113" s="74"/>
      <c r="J4113" s="155">
        <v>0</v>
      </c>
    </row>
    <row r="4114" spans="1:10" ht="15" hidden="1" thickBot="1" x14ac:dyDescent="0.35">
      <c r="A4114" s="226" t="s">
        <v>1309</v>
      </c>
      <c r="B4114" s="223" t="e">
        <f>INDEX(#REF!,MATCH(Composições!A4114,#REF!,0),2)</f>
        <v>#REF!</v>
      </c>
      <c r="C4114" s="41"/>
      <c r="D4114" s="26" t="e">
        <f>TRIM(INDEX(#REF!,MATCH(Composições!A4114,#REF!,0),1))</f>
        <v>#REF!</v>
      </c>
      <c r="E4114" s="27"/>
      <c r="F4114" s="49" t="s">
        <v>560</v>
      </c>
      <c r="G4114" s="28" t="str">
        <f t="shared" ref="G4114:G4177" si="70">IF(ISNUMBER(F4114),E4114*F4114,"")</f>
        <v/>
      </c>
      <c r="H4114" s="29"/>
      <c r="I4114" s="30"/>
      <c r="J4114" s="155">
        <v>0</v>
      </c>
    </row>
    <row r="4115" spans="1:10" ht="15" hidden="1" thickBot="1" x14ac:dyDescent="0.35">
      <c r="A4115" s="227"/>
      <c r="B4115" s="224"/>
      <c r="C4115" s="32"/>
      <c r="D4115" s="32"/>
      <c r="E4115" s="33"/>
      <c r="F4115" s="54" t="s">
        <v>560</v>
      </c>
      <c r="G4115" s="54" t="str">
        <f t="shared" si="70"/>
        <v/>
      </c>
      <c r="H4115" s="73"/>
      <c r="I4115" s="74"/>
      <c r="J4115" s="155">
        <v>0</v>
      </c>
    </row>
    <row r="4116" spans="1:10" ht="15" hidden="1" thickBot="1" x14ac:dyDescent="0.35">
      <c r="A4116" s="227"/>
      <c r="B4116" s="224"/>
      <c r="C4116" s="36" t="s">
        <v>1310</v>
      </c>
      <c r="D4116" s="36" t="s">
        <v>103</v>
      </c>
      <c r="E4116" s="37">
        <f>ROUND(0.33*1.15,4)</f>
        <v>0.3795</v>
      </c>
      <c r="F4116" s="54">
        <v>19.660499999999999</v>
      </c>
      <c r="G4116" s="54">
        <f t="shared" si="70"/>
        <v>7.4611597499999993</v>
      </c>
      <c r="H4116" s="39">
        <f>SUM(G4116:G4118)</f>
        <v>12.45025175</v>
      </c>
      <c r="I4116" s="40"/>
      <c r="J4116" s="155">
        <v>0</v>
      </c>
    </row>
    <row r="4117" spans="1:10" ht="15" hidden="1" thickBot="1" x14ac:dyDescent="0.35">
      <c r="A4117" s="227"/>
      <c r="B4117" s="224"/>
      <c r="C4117" s="36" t="s">
        <v>1138</v>
      </c>
      <c r="D4117" s="36" t="s">
        <v>744</v>
      </c>
      <c r="E4117" s="37">
        <v>0.187</v>
      </c>
      <c r="F4117" s="54">
        <v>21.156500000000001</v>
      </c>
      <c r="G4117" s="54">
        <f t="shared" si="70"/>
        <v>3.9562655000000002</v>
      </c>
      <c r="H4117" s="73"/>
      <c r="I4117" s="74"/>
      <c r="J4117" s="155">
        <v>0</v>
      </c>
    </row>
    <row r="4118" spans="1:10" ht="15" hidden="1" thickBot="1" x14ac:dyDescent="0.35">
      <c r="A4118" s="227"/>
      <c r="B4118" s="224"/>
      <c r="C4118" s="36" t="s">
        <v>745</v>
      </c>
      <c r="D4118" s="36" t="s">
        <v>744</v>
      </c>
      <c r="E4118" s="37">
        <v>6.9000000000000006E-2</v>
      </c>
      <c r="F4118" s="54">
        <v>14.968499999999999</v>
      </c>
      <c r="G4118" s="54">
        <f t="shared" si="70"/>
        <v>1.0328265000000001</v>
      </c>
      <c r="H4118" s="73"/>
      <c r="I4118" s="74"/>
      <c r="J4118" s="155">
        <v>0</v>
      </c>
    </row>
    <row r="4119" spans="1:10" ht="15" hidden="1" thickBot="1" x14ac:dyDescent="0.35">
      <c r="A4119" s="227"/>
      <c r="B4119" s="224"/>
      <c r="C4119" s="36"/>
      <c r="D4119" s="36"/>
      <c r="E4119" s="37"/>
      <c r="F4119" s="54" t="s">
        <v>560</v>
      </c>
      <c r="G4119" s="54" t="str">
        <f t="shared" si="70"/>
        <v/>
      </c>
      <c r="H4119" s="73"/>
      <c r="I4119" s="74"/>
      <c r="J4119" s="155">
        <v>0</v>
      </c>
    </row>
    <row r="4120" spans="1:10" ht="27" hidden="1" thickBot="1" x14ac:dyDescent="0.35">
      <c r="A4120" s="227"/>
      <c r="B4120" s="224"/>
      <c r="C4120" s="36" t="s">
        <v>1311</v>
      </c>
      <c r="D4120" s="36"/>
      <c r="E4120" s="37"/>
      <c r="F4120" s="54" t="s">
        <v>560</v>
      </c>
      <c r="G4120" s="54" t="str">
        <f t="shared" si="70"/>
        <v/>
      </c>
      <c r="H4120" s="73"/>
      <c r="I4120" s="74"/>
      <c r="J4120" s="155">
        <v>0</v>
      </c>
    </row>
    <row r="4121" spans="1:10" ht="15" hidden="1" thickBot="1" x14ac:dyDescent="0.35">
      <c r="A4121" s="227"/>
      <c r="B4121" s="224"/>
      <c r="C4121" s="55"/>
      <c r="D4121" s="55"/>
      <c r="E4121" s="66"/>
      <c r="F4121" s="76" t="s">
        <v>560</v>
      </c>
      <c r="G4121" s="76" t="str">
        <f t="shared" si="70"/>
        <v/>
      </c>
      <c r="H4121" s="77"/>
      <c r="I4121" s="74"/>
      <c r="J4121" s="155">
        <v>0</v>
      </c>
    </row>
    <row r="4122" spans="1:10" ht="15" hidden="1" thickBot="1" x14ac:dyDescent="0.35">
      <c r="A4122" s="226" t="s">
        <v>1312</v>
      </c>
      <c r="B4122" s="223" t="e">
        <f>INDEX(#REF!,MATCH(Composições!A4122,#REF!,0),2)</f>
        <v>#REF!</v>
      </c>
      <c r="C4122" s="41"/>
      <c r="D4122" s="26" t="e">
        <f>TRIM(INDEX(#REF!,MATCH(Composições!A4122,#REF!,0),1))</f>
        <v>#REF!</v>
      </c>
      <c r="E4122" s="27"/>
      <c r="F4122" s="49" t="s">
        <v>560</v>
      </c>
      <c r="G4122" s="28" t="str">
        <f t="shared" si="70"/>
        <v/>
      </c>
      <c r="H4122" s="29"/>
      <c r="I4122" s="30"/>
      <c r="J4122" s="155">
        <v>0</v>
      </c>
    </row>
    <row r="4123" spans="1:10" ht="15" hidden="1" thickBot="1" x14ac:dyDescent="0.35">
      <c r="A4123" s="227"/>
      <c r="B4123" s="224"/>
      <c r="C4123" s="32"/>
      <c r="D4123" s="32"/>
      <c r="E4123" s="33"/>
      <c r="F4123" s="54" t="s">
        <v>560</v>
      </c>
      <c r="G4123" s="54" t="str">
        <f t="shared" si="70"/>
        <v/>
      </c>
      <c r="H4123" s="73"/>
      <c r="I4123" s="74"/>
      <c r="J4123" s="155">
        <v>0</v>
      </c>
    </row>
    <row r="4124" spans="1:10" ht="15" hidden="1" thickBot="1" x14ac:dyDescent="0.35">
      <c r="A4124" s="227"/>
      <c r="B4124" s="224"/>
      <c r="C4124" s="36" t="s">
        <v>1137</v>
      </c>
      <c r="D4124" s="36" t="s">
        <v>103</v>
      </c>
      <c r="E4124" s="37">
        <v>0.17</v>
      </c>
      <c r="F4124" s="54">
        <v>13.115499999999999</v>
      </c>
      <c r="G4124" s="54">
        <f t="shared" si="70"/>
        <v>2.229635</v>
      </c>
      <c r="H4124" s="39">
        <f>SUM(G4124:G4126)</f>
        <v>13.376534999999999</v>
      </c>
      <c r="I4124" s="40"/>
      <c r="J4124" s="155">
        <v>0</v>
      </c>
    </row>
    <row r="4125" spans="1:10" ht="15" hidden="1" thickBot="1" x14ac:dyDescent="0.35">
      <c r="A4125" s="227"/>
      <c r="B4125" s="224"/>
      <c r="C4125" s="36" t="s">
        <v>1138</v>
      </c>
      <c r="D4125" s="36" t="s">
        <v>744</v>
      </c>
      <c r="E4125" s="37">
        <v>0.35</v>
      </c>
      <c r="F4125" s="54">
        <v>21.156500000000001</v>
      </c>
      <c r="G4125" s="54">
        <f t="shared" si="70"/>
        <v>7.4047749999999999</v>
      </c>
      <c r="H4125" s="73"/>
      <c r="I4125" s="74"/>
      <c r="J4125" s="155">
        <v>0</v>
      </c>
    </row>
    <row r="4126" spans="1:10" ht="15" hidden="1" thickBot="1" x14ac:dyDescent="0.35">
      <c r="A4126" s="227"/>
      <c r="B4126" s="224"/>
      <c r="C4126" s="36" t="s">
        <v>745</v>
      </c>
      <c r="D4126" s="36" t="s">
        <v>744</v>
      </c>
      <c r="E4126" s="37">
        <v>0.25</v>
      </c>
      <c r="F4126" s="54">
        <v>14.968499999999999</v>
      </c>
      <c r="G4126" s="54">
        <f t="shared" si="70"/>
        <v>3.7421249999999997</v>
      </c>
      <c r="H4126" s="73"/>
      <c r="I4126" s="74"/>
      <c r="J4126" s="155">
        <v>0</v>
      </c>
    </row>
    <row r="4127" spans="1:10" ht="15" hidden="1" thickBot="1" x14ac:dyDescent="0.35">
      <c r="A4127" s="227"/>
      <c r="B4127" s="224"/>
      <c r="C4127" s="55"/>
      <c r="D4127" s="55"/>
      <c r="E4127" s="66"/>
      <c r="F4127" s="76" t="s">
        <v>560</v>
      </c>
      <c r="G4127" s="76" t="str">
        <f t="shared" si="70"/>
        <v/>
      </c>
      <c r="H4127" s="77"/>
      <c r="I4127" s="74"/>
      <c r="J4127" s="155">
        <v>0</v>
      </c>
    </row>
    <row r="4128" spans="1:10" ht="15" hidden="1" thickBot="1" x14ac:dyDescent="0.35">
      <c r="A4128" s="226" t="s">
        <v>1313</v>
      </c>
      <c r="B4128" s="223" t="e">
        <f>INDEX(#REF!,MATCH(Composições!A4128,#REF!,0),2)</f>
        <v>#REF!</v>
      </c>
      <c r="C4128" s="41"/>
      <c r="D4128" s="26" t="e">
        <f>TRIM(INDEX(#REF!,MATCH(Composições!A4128,#REF!,0),1))</f>
        <v>#REF!</v>
      </c>
      <c r="E4128" s="27"/>
      <c r="F4128" s="49" t="s">
        <v>560</v>
      </c>
      <c r="G4128" s="28" t="str">
        <f t="shared" si="70"/>
        <v/>
      </c>
      <c r="H4128" s="29"/>
      <c r="I4128" s="30"/>
      <c r="J4128" s="155">
        <v>0</v>
      </c>
    </row>
    <row r="4129" spans="1:10" ht="15" hidden="1" thickBot="1" x14ac:dyDescent="0.35">
      <c r="A4129" s="227"/>
      <c r="B4129" s="224"/>
      <c r="C4129" s="32"/>
      <c r="D4129" s="32"/>
      <c r="E4129" s="33"/>
      <c r="F4129" s="54" t="s">
        <v>560</v>
      </c>
      <c r="G4129" s="54" t="str">
        <f t="shared" si="70"/>
        <v/>
      </c>
      <c r="H4129" s="73"/>
      <c r="I4129" s="74"/>
      <c r="J4129" s="155">
        <v>0</v>
      </c>
    </row>
    <row r="4130" spans="1:10" ht="15" hidden="1" thickBot="1" x14ac:dyDescent="0.35">
      <c r="A4130" s="227"/>
      <c r="B4130" s="224"/>
      <c r="C4130" s="36" t="s">
        <v>2059</v>
      </c>
      <c r="D4130" s="36" t="s">
        <v>103</v>
      </c>
      <c r="E4130" s="37">
        <v>0.52559999999999996</v>
      </c>
      <c r="F4130" s="54">
        <v>49.903500000000001</v>
      </c>
      <c r="G4130" s="54">
        <f t="shared" si="70"/>
        <v>26.229279599999998</v>
      </c>
      <c r="H4130" s="39">
        <f>SUM(G4130:G4133)</f>
        <v>50.050556800000003</v>
      </c>
      <c r="I4130" s="40"/>
      <c r="J4130" s="155">
        <v>0</v>
      </c>
    </row>
    <row r="4131" spans="1:10" ht="15" hidden="1" thickBot="1" x14ac:dyDescent="0.35">
      <c r="A4131" s="227"/>
      <c r="B4131" s="224"/>
      <c r="C4131" s="36" t="s">
        <v>752</v>
      </c>
      <c r="D4131" s="36" t="s">
        <v>744</v>
      </c>
      <c r="E4131" s="37">
        <v>0.5</v>
      </c>
      <c r="F4131" s="54">
        <v>20.314999999999998</v>
      </c>
      <c r="G4131" s="54">
        <f t="shared" si="70"/>
        <v>10.157499999999999</v>
      </c>
      <c r="H4131" s="73"/>
      <c r="I4131" s="74"/>
      <c r="J4131" s="155">
        <v>0</v>
      </c>
    </row>
    <row r="4132" spans="1:10" ht="15" hidden="1" thickBot="1" x14ac:dyDescent="0.35">
      <c r="A4132" s="227"/>
      <c r="B4132" s="224"/>
      <c r="C4132" s="36" t="s">
        <v>745</v>
      </c>
      <c r="D4132" s="36" t="s">
        <v>744</v>
      </c>
      <c r="E4132" s="37">
        <v>0.5</v>
      </c>
      <c r="F4132" s="54">
        <v>14.968499999999999</v>
      </c>
      <c r="G4132" s="54">
        <f t="shared" si="70"/>
        <v>7.4842499999999994</v>
      </c>
      <c r="H4132" s="73"/>
      <c r="I4132" s="74"/>
      <c r="J4132" s="155">
        <v>0</v>
      </c>
    </row>
    <row r="4133" spans="1:10" ht="15" hidden="1" thickBot="1" x14ac:dyDescent="0.35">
      <c r="A4133" s="227"/>
      <c r="B4133" s="224"/>
      <c r="C4133" s="36" t="s">
        <v>1314</v>
      </c>
      <c r="D4133" s="36" t="s">
        <v>1315</v>
      </c>
      <c r="E4133" s="37">
        <v>3.9199999999999999E-2</v>
      </c>
      <c r="F4133" s="54">
        <v>157.64099999999999</v>
      </c>
      <c r="G4133" s="54">
        <f t="shared" si="70"/>
        <v>6.1795271999999999</v>
      </c>
      <c r="H4133" s="73"/>
      <c r="I4133" s="74"/>
      <c r="J4133" s="155">
        <v>0</v>
      </c>
    </row>
    <row r="4134" spans="1:10" ht="15" hidden="1" thickBot="1" x14ac:dyDescent="0.35">
      <c r="A4134" s="227"/>
      <c r="B4134" s="224"/>
      <c r="C4134" s="55"/>
      <c r="D4134" s="55"/>
      <c r="E4134" s="66"/>
      <c r="F4134" s="76" t="s">
        <v>560</v>
      </c>
      <c r="G4134" s="76" t="str">
        <f t="shared" si="70"/>
        <v/>
      </c>
      <c r="H4134" s="77"/>
      <c r="I4134" s="74"/>
      <c r="J4134" s="155">
        <v>0</v>
      </c>
    </row>
    <row r="4135" spans="1:10" ht="15" hidden="1" thickBot="1" x14ac:dyDescent="0.35">
      <c r="A4135" s="226" t="s">
        <v>1316</v>
      </c>
      <c r="B4135" s="223" t="e">
        <f>INDEX(#REF!,MATCH(Composições!A4135,#REF!,0),2)</f>
        <v>#REF!</v>
      </c>
      <c r="C4135" s="41"/>
      <c r="D4135" s="26" t="e">
        <f>TRIM(INDEX(#REF!,MATCH(Composições!A4135,#REF!,0),1))</f>
        <v>#REF!</v>
      </c>
      <c r="E4135" s="27"/>
      <c r="F4135" s="49" t="s">
        <v>560</v>
      </c>
      <c r="G4135" s="28" t="str">
        <f t="shared" si="70"/>
        <v/>
      </c>
      <c r="H4135" s="29"/>
      <c r="I4135" s="30"/>
      <c r="J4135" s="155">
        <v>0</v>
      </c>
    </row>
    <row r="4136" spans="1:10" ht="15" hidden="1" thickBot="1" x14ac:dyDescent="0.35">
      <c r="A4136" s="227"/>
      <c r="B4136" s="224"/>
      <c r="C4136" s="32"/>
      <c r="D4136" s="32"/>
      <c r="E4136" s="33"/>
      <c r="F4136" s="54" t="s">
        <v>560</v>
      </c>
      <c r="G4136" s="54" t="str">
        <f t="shared" si="70"/>
        <v/>
      </c>
      <c r="H4136" s="73"/>
      <c r="I4136" s="74"/>
      <c r="J4136" s="155">
        <v>0</v>
      </c>
    </row>
    <row r="4137" spans="1:10" ht="15" hidden="1" thickBot="1" x14ac:dyDescent="0.35">
      <c r="A4137" s="227"/>
      <c r="B4137" s="224"/>
      <c r="C4137" s="36" t="s">
        <v>2379</v>
      </c>
      <c r="D4137" s="36" t="s">
        <v>103</v>
      </c>
      <c r="E4137" s="37">
        <v>0.04</v>
      </c>
      <c r="F4137" s="54">
        <v>0</v>
      </c>
      <c r="G4137" s="54">
        <f t="shared" si="70"/>
        <v>0</v>
      </c>
      <c r="H4137" s="39">
        <f>SUM(G4137:G4140)</f>
        <v>18.663959999999999</v>
      </c>
      <c r="I4137" s="40"/>
      <c r="J4137" s="155">
        <v>0</v>
      </c>
    </row>
    <row r="4138" spans="1:10" ht="15" hidden="1" thickBot="1" x14ac:dyDescent="0.35">
      <c r="A4138" s="227"/>
      <c r="B4138" s="224"/>
      <c r="C4138" s="36" t="s">
        <v>2380</v>
      </c>
      <c r="D4138" s="36" t="s">
        <v>939</v>
      </c>
      <c r="E4138" s="37">
        <v>0.36</v>
      </c>
      <c r="F4138" s="54">
        <v>3.9099999999999997</v>
      </c>
      <c r="G4138" s="54">
        <f t="shared" si="70"/>
        <v>1.4075999999999997</v>
      </c>
      <c r="H4138" s="73"/>
      <c r="I4138" s="74"/>
      <c r="J4138" s="155">
        <v>0</v>
      </c>
    </row>
    <row r="4139" spans="1:10" ht="15" hidden="1" thickBot="1" x14ac:dyDescent="0.35">
      <c r="A4139" s="227"/>
      <c r="B4139" s="224"/>
      <c r="C4139" s="36" t="s">
        <v>1138</v>
      </c>
      <c r="D4139" s="36" t="s">
        <v>744</v>
      </c>
      <c r="E4139" s="37">
        <v>0.66</v>
      </c>
      <c r="F4139" s="54">
        <v>21.156500000000001</v>
      </c>
      <c r="G4139" s="54">
        <f t="shared" si="70"/>
        <v>13.963290000000001</v>
      </c>
      <c r="H4139" s="73"/>
      <c r="I4139" s="74"/>
      <c r="J4139" s="155">
        <v>0</v>
      </c>
    </row>
    <row r="4140" spans="1:10" ht="15" hidden="1" thickBot="1" x14ac:dyDescent="0.35">
      <c r="A4140" s="227"/>
      <c r="B4140" s="224"/>
      <c r="C4140" s="36" t="s">
        <v>745</v>
      </c>
      <c r="D4140" s="36" t="s">
        <v>744</v>
      </c>
      <c r="E4140" s="37">
        <v>0.22</v>
      </c>
      <c r="F4140" s="54">
        <v>14.968499999999999</v>
      </c>
      <c r="G4140" s="54">
        <f t="shared" si="70"/>
        <v>3.2930699999999997</v>
      </c>
      <c r="H4140" s="73"/>
      <c r="I4140" s="74"/>
      <c r="J4140" s="155">
        <v>0</v>
      </c>
    </row>
    <row r="4141" spans="1:10" ht="15" hidden="1" thickBot="1" x14ac:dyDescent="0.35">
      <c r="A4141" s="228"/>
      <c r="B4141" s="225"/>
      <c r="C4141" s="55"/>
      <c r="D4141" s="55"/>
      <c r="E4141" s="66"/>
      <c r="F4141" s="76" t="s">
        <v>560</v>
      </c>
      <c r="G4141" s="76" t="str">
        <f t="shared" si="70"/>
        <v/>
      </c>
      <c r="H4141" s="77"/>
      <c r="I4141" s="74"/>
      <c r="J4141" s="155">
        <v>0</v>
      </c>
    </row>
    <row r="4142" spans="1:10" ht="15" hidden="1" thickBot="1" x14ac:dyDescent="0.35">
      <c r="A4142" s="226" t="s">
        <v>1318</v>
      </c>
      <c r="B4142" s="223" t="e">
        <f>INDEX(#REF!,MATCH(Composições!A4142,#REF!,0),2)</f>
        <v>#REF!</v>
      </c>
      <c r="C4142" s="41"/>
      <c r="D4142" s="26" t="e">
        <f>TRIM(INDEX(#REF!,MATCH(Composições!A4142,#REF!,0),1))</f>
        <v>#REF!</v>
      </c>
      <c r="E4142" s="27"/>
      <c r="F4142" s="49" t="s">
        <v>560</v>
      </c>
      <c r="G4142" s="28" t="str">
        <f t="shared" si="70"/>
        <v/>
      </c>
      <c r="H4142" s="29"/>
      <c r="I4142" s="30"/>
      <c r="J4142" s="155">
        <v>0</v>
      </c>
    </row>
    <row r="4143" spans="1:10" ht="15" hidden="1" thickBot="1" x14ac:dyDescent="0.35">
      <c r="A4143" s="227"/>
      <c r="B4143" s="224"/>
      <c r="C4143" s="32"/>
      <c r="D4143" s="32"/>
      <c r="E4143" s="33"/>
      <c r="F4143" s="54" t="s">
        <v>560</v>
      </c>
      <c r="G4143" s="54" t="str">
        <f t="shared" si="70"/>
        <v/>
      </c>
      <c r="H4143" s="73"/>
      <c r="I4143" s="74"/>
      <c r="J4143" s="155">
        <v>0</v>
      </c>
    </row>
    <row r="4144" spans="1:10" ht="27" hidden="1" thickBot="1" x14ac:dyDescent="0.35">
      <c r="A4144" s="227"/>
      <c r="B4144" s="224"/>
      <c r="C4144" s="36" t="s">
        <v>1319</v>
      </c>
      <c r="D4144" s="36" t="s">
        <v>939</v>
      </c>
      <c r="E4144" s="37">
        <v>2</v>
      </c>
      <c r="F4144" s="54" t="s">
        <v>560</v>
      </c>
      <c r="G4144" s="54" t="str">
        <f t="shared" si="70"/>
        <v/>
      </c>
      <c r="H4144" s="39">
        <f>SUM(G4144:G4145)</f>
        <v>1.0328265000000001</v>
      </c>
      <c r="I4144" s="40"/>
      <c r="J4144" s="155">
        <v>0</v>
      </c>
    </row>
    <row r="4145" spans="1:10" ht="15" hidden="1" thickBot="1" x14ac:dyDescent="0.35">
      <c r="A4145" s="227"/>
      <c r="B4145" s="224"/>
      <c r="C4145" s="36" t="s">
        <v>745</v>
      </c>
      <c r="D4145" s="36" t="s">
        <v>744</v>
      </c>
      <c r="E4145" s="37">
        <v>6.9000000000000006E-2</v>
      </c>
      <c r="F4145" s="54">
        <v>14.968499999999999</v>
      </c>
      <c r="G4145" s="54">
        <f t="shared" si="70"/>
        <v>1.0328265000000001</v>
      </c>
      <c r="H4145" s="73"/>
      <c r="I4145" s="74"/>
      <c r="J4145" s="155">
        <v>0</v>
      </c>
    </row>
    <row r="4146" spans="1:10" ht="15" hidden="1" thickBot="1" x14ac:dyDescent="0.35">
      <c r="A4146" s="227"/>
      <c r="B4146" s="224"/>
      <c r="C4146" s="55"/>
      <c r="D4146" s="55"/>
      <c r="E4146" s="66"/>
      <c r="F4146" s="76" t="s">
        <v>560</v>
      </c>
      <c r="G4146" s="76" t="str">
        <f t="shared" si="70"/>
        <v/>
      </c>
      <c r="H4146" s="77"/>
      <c r="I4146" s="74"/>
      <c r="J4146" s="155">
        <v>0</v>
      </c>
    </row>
    <row r="4147" spans="1:10" ht="15" hidden="1" thickBot="1" x14ac:dyDescent="0.35">
      <c r="A4147" s="226" t="s">
        <v>1320</v>
      </c>
      <c r="B4147" s="223" t="e">
        <f>INDEX(#REF!,MATCH(Composições!A4147,#REF!,0),2)</f>
        <v>#REF!</v>
      </c>
      <c r="C4147" s="41"/>
      <c r="D4147" s="26" t="e">
        <f>TRIM(INDEX(#REF!,MATCH(Composições!A4147,#REF!,0),1))</f>
        <v>#REF!</v>
      </c>
      <c r="E4147" s="27"/>
      <c r="F4147" s="49" t="s">
        <v>560</v>
      </c>
      <c r="G4147" s="28" t="str">
        <f t="shared" si="70"/>
        <v/>
      </c>
      <c r="H4147" s="29"/>
      <c r="I4147" s="30"/>
      <c r="J4147" s="155">
        <v>0</v>
      </c>
    </row>
    <row r="4148" spans="1:10" ht="15" hidden="1" thickBot="1" x14ac:dyDescent="0.35">
      <c r="A4148" s="227"/>
      <c r="B4148" s="224"/>
      <c r="C4148" s="32"/>
      <c r="D4148" s="32"/>
      <c r="E4148" s="33"/>
      <c r="F4148" s="54" t="s">
        <v>560</v>
      </c>
      <c r="G4148" s="54" t="str">
        <f t="shared" si="70"/>
        <v/>
      </c>
      <c r="H4148" s="73"/>
      <c r="I4148" s="74"/>
      <c r="J4148" s="155">
        <v>0</v>
      </c>
    </row>
    <row r="4149" spans="1:10" ht="15" hidden="1" thickBot="1" x14ac:dyDescent="0.35">
      <c r="A4149" s="227"/>
      <c r="B4149" s="224"/>
      <c r="C4149" s="36" t="s">
        <v>1317</v>
      </c>
      <c r="D4149" s="36" t="s">
        <v>103</v>
      </c>
      <c r="E4149" s="37">
        <v>6.1899999999999997E-2</v>
      </c>
      <c r="F4149" s="54">
        <v>11.1435</v>
      </c>
      <c r="G4149" s="54">
        <f t="shared" si="70"/>
        <v>0.68978264999999994</v>
      </c>
      <c r="H4149" s="39">
        <f>SUM(G4149:G4155)</f>
        <v>24.296941449999998</v>
      </c>
      <c r="I4149" s="40"/>
      <c r="J4149" s="155">
        <v>0</v>
      </c>
    </row>
    <row r="4150" spans="1:10" ht="15" hidden="1" thickBot="1" x14ac:dyDescent="0.35">
      <c r="A4150" s="227"/>
      <c r="B4150" s="224"/>
      <c r="C4150" s="36" t="s">
        <v>1396</v>
      </c>
      <c r="D4150" s="36" t="s">
        <v>103</v>
      </c>
      <c r="E4150" s="37">
        <v>0.20699999999999999</v>
      </c>
      <c r="F4150" s="54">
        <v>26.094999999999999</v>
      </c>
      <c r="G4150" s="54">
        <f t="shared" si="70"/>
        <v>5.4016649999999995</v>
      </c>
      <c r="H4150" s="73"/>
      <c r="I4150" s="74"/>
      <c r="J4150" s="155">
        <v>0</v>
      </c>
    </row>
    <row r="4151" spans="1:10" ht="15" hidden="1" thickBot="1" x14ac:dyDescent="0.35">
      <c r="A4151" s="227"/>
      <c r="B4151" s="224"/>
      <c r="C4151" s="36" t="s">
        <v>1138</v>
      </c>
      <c r="D4151" s="36" t="s">
        <v>744</v>
      </c>
      <c r="E4151" s="37">
        <v>0.52659999999999996</v>
      </c>
      <c r="F4151" s="54">
        <v>21.156500000000001</v>
      </c>
      <c r="G4151" s="54">
        <f t="shared" si="70"/>
        <v>11.1410129</v>
      </c>
      <c r="H4151" s="73"/>
      <c r="I4151" s="74"/>
      <c r="J4151" s="155">
        <v>0</v>
      </c>
    </row>
    <row r="4152" spans="1:10" ht="40.200000000000003" hidden="1" thickBot="1" x14ac:dyDescent="0.35">
      <c r="A4152" s="227"/>
      <c r="B4152" s="224"/>
      <c r="C4152" s="36" t="s">
        <v>1321</v>
      </c>
      <c r="D4152" s="36" t="s">
        <v>985</v>
      </c>
      <c r="E4152" s="37">
        <v>0.37319999999999998</v>
      </c>
      <c r="F4152" s="54" t="s">
        <v>560</v>
      </c>
      <c r="G4152" s="54" t="str">
        <f t="shared" si="70"/>
        <v/>
      </c>
      <c r="H4152" s="73"/>
      <c r="I4152" s="74"/>
      <c r="J4152" s="155">
        <v>0</v>
      </c>
    </row>
    <row r="4153" spans="1:10" ht="40.200000000000003" hidden="1" thickBot="1" x14ac:dyDescent="0.35">
      <c r="A4153" s="227"/>
      <c r="B4153" s="224"/>
      <c r="C4153" s="36" t="s">
        <v>1322</v>
      </c>
      <c r="D4153" s="36" t="s">
        <v>983</v>
      </c>
      <c r="E4153" s="37">
        <v>0.15340000000000001</v>
      </c>
      <c r="F4153" s="54" t="s">
        <v>560</v>
      </c>
      <c r="G4153" s="54" t="str">
        <f t="shared" si="70"/>
        <v/>
      </c>
      <c r="H4153" s="73"/>
      <c r="I4153" s="74"/>
      <c r="J4153" s="155">
        <v>0</v>
      </c>
    </row>
    <row r="4154" spans="1:10" ht="15" hidden="1" thickBot="1" x14ac:dyDescent="0.35">
      <c r="A4154" s="227"/>
      <c r="B4154" s="224"/>
      <c r="C4154" s="36" t="s">
        <v>1323</v>
      </c>
      <c r="D4154" s="36" t="s">
        <v>292</v>
      </c>
      <c r="E4154" s="37">
        <v>0.3</v>
      </c>
      <c r="F4154" s="54">
        <v>2.4904999999999999</v>
      </c>
      <c r="G4154" s="54">
        <f t="shared" si="70"/>
        <v>0.74714999999999998</v>
      </c>
      <c r="H4154" s="73"/>
      <c r="I4154" s="74"/>
      <c r="J4154" s="155">
        <v>0</v>
      </c>
    </row>
    <row r="4155" spans="1:10" ht="15" hidden="1" thickBot="1" x14ac:dyDescent="0.35">
      <c r="A4155" s="227"/>
      <c r="B4155" s="224"/>
      <c r="C4155" s="36" t="s">
        <v>1138</v>
      </c>
      <c r="D4155" s="36" t="s">
        <v>744</v>
      </c>
      <c r="E4155" s="37">
        <v>0.29859999999999998</v>
      </c>
      <c r="F4155" s="54">
        <v>21.156500000000001</v>
      </c>
      <c r="G4155" s="54">
        <f t="shared" si="70"/>
        <v>6.3173309</v>
      </c>
      <c r="H4155" s="73"/>
      <c r="I4155" s="74"/>
      <c r="J4155" s="155">
        <v>0</v>
      </c>
    </row>
    <row r="4156" spans="1:10" ht="15" hidden="1" thickBot="1" x14ac:dyDescent="0.35">
      <c r="A4156" s="228"/>
      <c r="B4156" s="225"/>
      <c r="C4156" s="55"/>
      <c r="D4156" s="55"/>
      <c r="E4156" s="66"/>
      <c r="F4156" s="76" t="s">
        <v>560</v>
      </c>
      <c r="G4156" s="76" t="str">
        <f t="shared" si="70"/>
        <v/>
      </c>
      <c r="H4156" s="77"/>
      <c r="I4156" s="74"/>
      <c r="J4156" s="155">
        <v>0</v>
      </c>
    </row>
    <row r="4157" spans="1:10" ht="15" thickBot="1" x14ac:dyDescent="0.35">
      <c r="A4157" s="226" t="s">
        <v>1324</v>
      </c>
      <c r="B4157" s="223" t="str">
        <f>INDEX(Orçamentária!A:B,MATCH(Composições!A4157,Orçamentária!A:A,0),2)</f>
        <v>Selagem ou resselagem de juntas em pavimentação de concreto armado</v>
      </c>
      <c r="C4157" s="41"/>
      <c r="D4157" s="26" t="str">
        <f>TRIM(INDEX(Orçamentária!C:C,MATCH(Composições!A4157,Orçamentária!A:A,0),1))</f>
        <v>m</v>
      </c>
      <c r="E4157" s="27"/>
      <c r="F4157" s="49" t="s">
        <v>560</v>
      </c>
      <c r="G4157" s="28" t="str">
        <f t="shared" si="70"/>
        <v/>
      </c>
      <c r="H4157" s="29"/>
      <c r="I4157" s="30"/>
      <c r="J4157" s="155">
        <v>373</v>
      </c>
    </row>
    <row r="4158" spans="1:10" x14ac:dyDescent="0.3">
      <c r="A4158" s="227"/>
      <c r="B4158" s="224"/>
      <c r="C4158" s="32"/>
      <c r="D4158" s="32"/>
      <c r="E4158" s="33"/>
      <c r="F4158" s="54" t="s">
        <v>560</v>
      </c>
      <c r="G4158" s="54" t="str">
        <f t="shared" si="70"/>
        <v/>
      </c>
      <c r="H4158" s="73"/>
      <c r="I4158" s="74"/>
      <c r="J4158" s="155">
        <v>373</v>
      </c>
    </row>
    <row r="4159" spans="1:10" x14ac:dyDescent="0.3">
      <c r="A4159" s="227"/>
      <c r="B4159" s="224"/>
      <c r="C4159" s="36" t="s">
        <v>745</v>
      </c>
      <c r="D4159" s="36" t="s">
        <v>12</v>
      </c>
      <c r="E4159" s="37">
        <f>ROUND(4/74.7,4)</f>
        <v>5.3499999999999999E-2</v>
      </c>
      <c r="F4159" s="54">
        <v>14.968499999999999</v>
      </c>
      <c r="G4159" s="54">
        <f t="shared" si="70"/>
        <v>0.80081474999999991</v>
      </c>
      <c r="H4159" s="39">
        <f>SUM(G4159:G4164)</f>
        <v>9.1694918749999985</v>
      </c>
      <c r="I4159" s="40"/>
      <c r="J4159" s="155">
        <v>373</v>
      </c>
    </row>
    <row r="4160" spans="1:10" x14ac:dyDescent="0.3">
      <c r="A4160" s="227"/>
      <c r="B4160" s="224"/>
      <c r="C4160" s="36" t="s">
        <v>1325</v>
      </c>
      <c r="D4160" s="36" t="s">
        <v>983</v>
      </c>
      <c r="E4160" s="37">
        <f>ROUND(1/74.7,4)</f>
        <v>1.34E-2</v>
      </c>
      <c r="F4160" s="54">
        <v>16.440020000000001</v>
      </c>
      <c r="G4160" s="54">
        <f t="shared" si="70"/>
        <v>0.22029626800000002</v>
      </c>
      <c r="H4160" s="73"/>
      <c r="I4160" s="74"/>
      <c r="J4160" s="155">
        <v>373</v>
      </c>
    </row>
    <row r="4161" spans="1:10" x14ac:dyDescent="0.3">
      <c r="A4161" s="227"/>
      <c r="B4161" s="224"/>
      <c r="C4161" s="36" t="s">
        <v>1326</v>
      </c>
      <c r="D4161" s="36" t="s">
        <v>983</v>
      </c>
      <c r="E4161" s="37">
        <f>ROUND(1/74.7,4)</f>
        <v>1.34E-2</v>
      </c>
      <c r="F4161" s="54">
        <v>18.163650000000001</v>
      </c>
      <c r="G4161" s="54">
        <f t="shared" si="70"/>
        <v>0.24339291000000002</v>
      </c>
      <c r="H4161" s="73"/>
      <c r="I4161" s="74"/>
      <c r="J4161" s="155">
        <v>373</v>
      </c>
    </row>
    <row r="4162" spans="1:10" x14ac:dyDescent="0.3">
      <c r="A4162" s="227"/>
      <c r="B4162" s="224"/>
      <c r="C4162" s="36" t="s">
        <v>1327</v>
      </c>
      <c r="D4162" s="36" t="s">
        <v>93</v>
      </c>
      <c r="E4162" s="37">
        <v>1</v>
      </c>
      <c r="F4162" s="54">
        <v>0.131495</v>
      </c>
      <c r="G4162" s="54">
        <f t="shared" si="70"/>
        <v>0.131495</v>
      </c>
      <c r="H4162" s="73"/>
      <c r="I4162" s="74"/>
      <c r="J4162" s="155">
        <v>373</v>
      </c>
    </row>
    <row r="4163" spans="1:10" x14ac:dyDescent="0.3">
      <c r="A4163" s="227"/>
      <c r="B4163" s="224"/>
      <c r="C4163" s="36" t="s">
        <v>1328</v>
      </c>
      <c r="D4163" s="36" t="s">
        <v>292</v>
      </c>
      <c r="E4163" s="37">
        <v>3.3E-3</v>
      </c>
      <c r="F4163" s="54">
        <v>280.98059000000001</v>
      </c>
      <c r="G4163" s="54">
        <f t="shared" si="70"/>
        <v>0.927235947</v>
      </c>
      <c r="H4163" s="73"/>
      <c r="I4163" s="74"/>
      <c r="J4163" s="155">
        <v>373</v>
      </c>
    </row>
    <row r="4164" spans="1:10" ht="26.4" x14ac:dyDescent="0.3">
      <c r="A4164" s="227"/>
      <c r="B4164" s="224"/>
      <c r="C4164" s="36" t="s">
        <v>1329</v>
      </c>
      <c r="D4164" s="36" t="s">
        <v>42</v>
      </c>
      <c r="E4164" s="37">
        <v>0.1181</v>
      </c>
      <c r="F4164" s="54">
        <v>57.97</v>
      </c>
      <c r="G4164" s="54">
        <f t="shared" si="70"/>
        <v>6.8462569999999996</v>
      </c>
      <c r="H4164" s="73"/>
      <c r="I4164" s="74"/>
      <c r="J4164" s="155">
        <v>373</v>
      </c>
    </row>
    <row r="4165" spans="1:10" ht="15" thickBot="1" x14ac:dyDescent="0.35">
      <c r="A4165" s="228"/>
      <c r="B4165" s="225"/>
      <c r="C4165" s="55"/>
      <c r="D4165" s="55"/>
      <c r="E4165" s="66"/>
      <c r="F4165" s="76" t="s">
        <v>560</v>
      </c>
      <c r="G4165" s="76" t="str">
        <f t="shared" si="70"/>
        <v/>
      </c>
      <c r="H4165" s="77"/>
      <c r="I4165" s="74"/>
      <c r="J4165" s="155">
        <v>373</v>
      </c>
    </row>
    <row r="4166" spans="1:10" ht="15" hidden="1" thickBot="1" x14ac:dyDescent="0.35">
      <c r="A4166" s="226" t="s">
        <v>1330</v>
      </c>
      <c r="B4166" s="223" t="e">
        <f>INDEX(#REF!,MATCH(Composições!A4166,#REF!,0),2)</f>
        <v>#REF!</v>
      </c>
      <c r="C4166" s="41"/>
      <c r="D4166" s="26" t="e">
        <f>TRIM(INDEX(#REF!,MATCH(Composições!A4166,#REF!,0),1))</f>
        <v>#REF!</v>
      </c>
      <c r="E4166" s="27"/>
      <c r="F4166" s="49" t="s">
        <v>560</v>
      </c>
      <c r="G4166" s="28" t="str">
        <f t="shared" si="70"/>
        <v/>
      </c>
      <c r="H4166" s="29"/>
      <c r="I4166" s="30"/>
      <c r="J4166" s="155">
        <v>0</v>
      </c>
    </row>
    <row r="4167" spans="1:10" ht="15" hidden="1" thickBot="1" x14ac:dyDescent="0.35">
      <c r="A4167" s="227"/>
      <c r="B4167" s="224"/>
      <c r="C4167" s="32"/>
      <c r="D4167" s="32"/>
      <c r="E4167" s="33"/>
      <c r="F4167" s="54" t="s">
        <v>560</v>
      </c>
      <c r="G4167" s="54" t="str">
        <f t="shared" si="70"/>
        <v/>
      </c>
      <c r="H4167" s="73"/>
      <c r="I4167" s="74"/>
      <c r="J4167" s="155">
        <v>0</v>
      </c>
    </row>
    <row r="4168" spans="1:10" ht="27" hidden="1" thickBot="1" x14ac:dyDescent="0.35">
      <c r="A4168" s="227"/>
      <c r="B4168" s="224"/>
      <c r="C4168" s="36" t="s">
        <v>793</v>
      </c>
      <c r="D4168" s="36" t="s">
        <v>122</v>
      </c>
      <c r="E4168" s="37">
        <v>5.6800000000000003E-2</v>
      </c>
      <c r="F4168" s="54">
        <v>76.5</v>
      </c>
      <c r="G4168" s="54">
        <f t="shared" si="70"/>
        <v>4.3452000000000002</v>
      </c>
      <c r="H4168" s="39">
        <f>SUM(G4168:G4178)</f>
        <v>52.139214775960006</v>
      </c>
      <c r="I4168" s="40"/>
      <c r="J4168" s="155">
        <v>0</v>
      </c>
    </row>
    <row r="4169" spans="1:10" ht="15" hidden="1" thickBot="1" x14ac:dyDescent="0.35">
      <c r="A4169" s="227"/>
      <c r="B4169" s="224"/>
      <c r="C4169" s="36" t="s">
        <v>1331</v>
      </c>
      <c r="D4169" s="36" t="s">
        <v>122</v>
      </c>
      <c r="E4169" s="37">
        <v>3.5999999999999999E-3</v>
      </c>
      <c r="F4169" s="54">
        <v>105.63800000000001</v>
      </c>
      <c r="G4169" s="54">
        <f t="shared" si="70"/>
        <v>0.38029679999999999</v>
      </c>
      <c r="H4169" s="73"/>
      <c r="I4169" s="74"/>
      <c r="J4169" s="155">
        <v>0</v>
      </c>
    </row>
    <row r="4170" spans="1:10" ht="40.200000000000003" hidden="1" thickBot="1" x14ac:dyDescent="0.35">
      <c r="A4170" s="227"/>
      <c r="B4170" s="224"/>
      <c r="C4170" s="36" t="s">
        <v>1332</v>
      </c>
      <c r="D4170" s="36" t="s">
        <v>1035</v>
      </c>
      <c r="E4170" s="37">
        <v>1.0042</v>
      </c>
      <c r="F4170" s="54">
        <v>41.292999999999999</v>
      </c>
      <c r="G4170" s="54">
        <f t="shared" si="70"/>
        <v>41.466430599999995</v>
      </c>
      <c r="H4170" s="73"/>
      <c r="I4170" s="74"/>
      <c r="J4170" s="155">
        <v>0</v>
      </c>
    </row>
    <row r="4171" spans="1:10" ht="15" hidden="1" thickBot="1" x14ac:dyDescent="0.35">
      <c r="A4171" s="227"/>
      <c r="B4171" s="224"/>
      <c r="C4171" s="36" t="s">
        <v>1333</v>
      </c>
      <c r="D4171" s="36" t="s">
        <v>744</v>
      </c>
      <c r="E4171" s="37">
        <v>9.7000000000000003E-2</v>
      </c>
      <c r="F4171" s="54">
        <v>19.091000000000001</v>
      </c>
      <c r="G4171" s="54">
        <f t="shared" si="70"/>
        <v>1.8518270000000001</v>
      </c>
      <c r="H4171" s="73"/>
      <c r="I4171" s="74"/>
      <c r="J4171" s="155">
        <v>0</v>
      </c>
    </row>
    <row r="4172" spans="1:10" ht="15" hidden="1" thickBot="1" x14ac:dyDescent="0.35">
      <c r="A4172" s="227"/>
      <c r="B4172" s="224"/>
      <c r="C4172" s="36" t="s">
        <v>745</v>
      </c>
      <c r="D4172" s="36" t="s">
        <v>744</v>
      </c>
      <c r="E4172" s="37">
        <v>9.7000000000000003E-2</v>
      </c>
      <c r="F4172" s="54">
        <v>14.968499999999999</v>
      </c>
      <c r="G4172" s="54">
        <f t="shared" si="70"/>
        <v>1.4519445</v>
      </c>
      <c r="H4172" s="73"/>
      <c r="I4172" s="74"/>
      <c r="J4172" s="155">
        <v>0</v>
      </c>
    </row>
    <row r="4173" spans="1:10" ht="40.200000000000003" hidden="1" thickBot="1" x14ac:dyDescent="0.35">
      <c r="A4173" s="227"/>
      <c r="B4173" s="224"/>
      <c r="C4173" s="36" t="s">
        <v>1146</v>
      </c>
      <c r="D4173" s="36" t="s">
        <v>983</v>
      </c>
      <c r="E4173" s="37">
        <v>4.1000000000000003E-3</v>
      </c>
      <c r="F4173" s="54">
        <v>8.5339999999999989</v>
      </c>
      <c r="G4173" s="54">
        <f t="shared" si="70"/>
        <v>3.4989399999999997E-2</v>
      </c>
      <c r="H4173" s="73"/>
      <c r="I4173" s="74"/>
      <c r="J4173" s="155">
        <v>0</v>
      </c>
    </row>
    <row r="4174" spans="1:10" ht="40.200000000000003" hidden="1" thickBot="1" x14ac:dyDescent="0.35">
      <c r="A4174" s="227"/>
      <c r="B4174" s="224"/>
      <c r="C4174" s="36" t="s">
        <v>1334</v>
      </c>
      <c r="D4174" s="36" t="s">
        <v>985</v>
      </c>
      <c r="E4174" s="37">
        <v>4.4400000000000002E-2</v>
      </c>
      <c r="F4174" s="54">
        <v>0.442</v>
      </c>
      <c r="G4174" s="54">
        <f t="shared" si="70"/>
        <v>1.9624800000000001E-2</v>
      </c>
      <c r="H4174" s="73"/>
      <c r="I4174" s="74"/>
      <c r="J4174" s="155">
        <v>0</v>
      </c>
    </row>
    <row r="4175" spans="1:10" ht="53.4" hidden="1" thickBot="1" x14ac:dyDescent="0.35">
      <c r="A4175" s="227"/>
      <c r="B4175" s="224"/>
      <c r="C4175" s="36" t="s">
        <v>1335</v>
      </c>
      <c r="D4175" s="36" t="s">
        <v>983</v>
      </c>
      <c r="E4175" s="37">
        <v>3.7000000000000002E-3</v>
      </c>
      <c r="F4175" s="54">
        <v>19.533000000000001</v>
      </c>
      <c r="G4175" s="54">
        <f t="shared" si="70"/>
        <v>7.2272100000000006E-2</v>
      </c>
      <c r="H4175" s="73"/>
      <c r="I4175" s="74"/>
      <c r="J4175" s="155">
        <v>0</v>
      </c>
    </row>
    <row r="4176" spans="1:10" ht="53.4" hidden="1" thickBot="1" x14ac:dyDescent="0.35">
      <c r="A4176" s="227"/>
      <c r="B4176" s="224"/>
      <c r="C4176" s="36" t="s">
        <v>1336</v>
      </c>
      <c r="D4176" s="36" t="s">
        <v>985</v>
      </c>
      <c r="E4176" s="37">
        <v>4.48E-2</v>
      </c>
      <c r="F4176" s="54">
        <v>0.63749999999999996</v>
      </c>
      <c r="G4176" s="54">
        <f t="shared" si="70"/>
        <v>2.8559999999999999E-2</v>
      </c>
      <c r="H4176" s="73"/>
      <c r="I4176" s="74"/>
      <c r="J4176" s="155">
        <v>0</v>
      </c>
    </row>
    <row r="4177" spans="1:10" ht="53.4" hidden="1" thickBot="1" x14ac:dyDescent="0.35">
      <c r="A4177" s="227"/>
      <c r="B4177" s="224"/>
      <c r="C4177" s="36" t="s">
        <v>1931</v>
      </c>
      <c r="D4177" s="36" t="s">
        <v>110</v>
      </c>
      <c r="E4177" s="37">
        <f>1*(E4168+E4169)</f>
        <v>6.0400000000000002E-2</v>
      </c>
      <c r="F4177" s="34">
        <v>5.4059098999999993</v>
      </c>
      <c r="G4177" s="34">
        <f t="shared" si="70"/>
        <v>0.32651695795999996</v>
      </c>
      <c r="H4177" s="35"/>
      <c r="I4177" s="31"/>
      <c r="J4177" s="155">
        <v>0</v>
      </c>
    </row>
    <row r="4178" spans="1:10" ht="27" hidden="1" thickBot="1" x14ac:dyDescent="0.35">
      <c r="A4178" s="227"/>
      <c r="B4178" s="224"/>
      <c r="C4178" s="36" t="s">
        <v>123</v>
      </c>
      <c r="D4178" s="36" t="s">
        <v>124</v>
      </c>
      <c r="E4178" s="37">
        <f>20*(E4168+E4169)</f>
        <v>1.208</v>
      </c>
      <c r="F4178" s="54">
        <v>1.7893647499999998</v>
      </c>
      <c r="G4178" s="54">
        <f t="shared" ref="G4178:G4241" si="71">IF(ISNUMBER(F4178),E4178*F4178,"")</f>
        <v>2.1615526179999995</v>
      </c>
      <c r="H4178" s="73"/>
      <c r="I4178" s="74"/>
      <c r="J4178" s="155">
        <v>0</v>
      </c>
    </row>
    <row r="4179" spans="1:10" ht="15" hidden="1" thickBot="1" x14ac:dyDescent="0.35">
      <c r="A4179" s="227"/>
      <c r="B4179" s="224"/>
      <c r="C4179" s="36"/>
      <c r="D4179" s="36"/>
      <c r="E4179" s="37"/>
      <c r="F4179" s="54" t="s">
        <v>560</v>
      </c>
      <c r="G4179" s="54" t="str">
        <f t="shared" si="71"/>
        <v/>
      </c>
      <c r="H4179" s="73"/>
      <c r="I4179" s="74"/>
      <c r="J4179" s="155">
        <v>0</v>
      </c>
    </row>
    <row r="4180" spans="1:10" ht="27" hidden="1" thickBot="1" x14ac:dyDescent="0.35">
      <c r="A4180" s="227"/>
      <c r="B4180" s="224"/>
      <c r="C4180" s="48" t="s">
        <v>1337</v>
      </c>
      <c r="D4180" s="36"/>
      <c r="E4180" s="37"/>
      <c r="F4180" s="54" t="s">
        <v>560</v>
      </c>
      <c r="G4180" s="54" t="str">
        <f t="shared" si="71"/>
        <v/>
      </c>
      <c r="H4180" s="73"/>
      <c r="I4180" s="74"/>
      <c r="J4180" s="155">
        <v>0</v>
      </c>
    </row>
    <row r="4181" spans="1:10" ht="15" hidden="1" thickBot="1" x14ac:dyDescent="0.35">
      <c r="A4181" s="228"/>
      <c r="B4181" s="225"/>
      <c r="C4181" s="55"/>
      <c r="D4181" s="55"/>
      <c r="E4181" s="66"/>
      <c r="F4181" s="76" t="s">
        <v>560</v>
      </c>
      <c r="G4181" s="76" t="str">
        <f t="shared" si="71"/>
        <v/>
      </c>
      <c r="H4181" s="77"/>
      <c r="I4181" s="74"/>
      <c r="J4181" s="155">
        <v>0</v>
      </c>
    </row>
    <row r="4182" spans="1:10" ht="15" hidden="1" thickBot="1" x14ac:dyDescent="0.35">
      <c r="A4182" s="226" t="s">
        <v>1338</v>
      </c>
      <c r="B4182" s="223" t="e">
        <f>INDEX(#REF!,MATCH(Composições!A4182,#REF!,0),2)</f>
        <v>#REF!</v>
      </c>
      <c r="C4182" s="41"/>
      <c r="D4182" s="26" t="e">
        <f>TRIM(INDEX(#REF!,MATCH(Composições!A4182,#REF!,0),1))</f>
        <v>#REF!</v>
      </c>
      <c r="E4182" s="27"/>
      <c r="F4182" s="49" t="s">
        <v>560</v>
      </c>
      <c r="G4182" s="28" t="str">
        <f t="shared" si="71"/>
        <v/>
      </c>
      <c r="H4182" s="29"/>
      <c r="I4182" s="30"/>
      <c r="J4182" s="155">
        <v>0</v>
      </c>
    </row>
    <row r="4183" spans="1:10" ht="15" hidden="1" thickBot="1" x14ac:dyDescent="0.35">
      <c r="A4183" s="227"/>
      <c r="B4183" s="224"/>
      <c r="C4183" s="32"/>
      <c r="D4183" s="32"/>
      <c r="E4183" s="33"/>
      <c r="F4183" s="54" t="s">
        <v>560</v>
      </c>
      <c r="G4183" s="54" t="str">
        <f t="shared" si="71"/>
        <v/>
      </c>
      <c r="H4183" s="73"/>
      <c r="I4183" s="74"/>
      <c r="J4183" s="155">
        <v>0</v>
      </c>
    </row>
    <row r="4184" spans="1:10" ht="15" hidden="1" thickBot="1" x14ac:dyDescent="0.35">
      <c r="A4184" s="227"/>
      <c r="B4184" s="224"/>
      <c r="C4184" s="36" t="s">
        <v>745</v>
      </c>
      <c r="D4184" s="36" t="s">
        <v>744</v>
      </c>
      <c r="E4184" s="37">
        <v>0.4</v>
      </c>
      <c r="F4184" s="54">
        <v>14.968499999999999</v>
      </c>
      <c r="G4184" s="54">
        <f t="shared" si="71"/>
        <v>5.9874000000000001</v>
      </c>
      <c r="H4184" s="39">
        <f>SUM(G4184:G4205)</f>
        <v>677.1999838559999</v>
      </c>
      <c r="I4184" s="40"/>
      <c r="J4184" s="155">
        <v>0</v>
      </c>
    </row>
    <row r="4185" spans="1:10" ht="40.200000000000003" hidden="1" thickBot="1" x14ac:dyDescent="0.35">
      <c r="A4185" s="227"/>
      <c r="B4185" s="224"/>
      <c r="C4185" s="36" t="s">
        <v>1339</v>
      </c>
      <c r="D4185" s="36" t="s">
        <v>985</v>
      </c>
      <c r="E4185" s="37">
        <v>6.0000000000000001E-3</v>
      </c>
      <c r="F4185" s="54">
        <v>49.308499999999995</v>
      </c>
      <c r="G4185" s="54">
        <f t="shared" si="71"/>
        <v>0.29585099999999998</v>
      </c>
      <c r="H4185" s="73"/>
      <c r="I4185" s="74"/>
      <c r="J4185" s="155">
        <v>0</v>
      </c>
    </row>
    <row r="4186" spans="1:10" ht="40.200000000000003" hidden="1" thickBot="1" x14ac:dyDescent="0.35">
      <c r="A4186" s="227"/>
      <c r="B4186" s="224"/>
      <c r="C4186" s="36" t="s">
        <v>1340</v>
      </c>
      <c r="D4186" s="36" t="s">
        <v>983</v>
      </c>
      <c r="E4186" s="37">
        <v>1.0699999999999999E-2</v>
      </c>
      <c r="F4186" s="54">
        <v>128.928</v>
      </c>
      <c r="G4186" s="54">
        <f t="shared" si="71"/>
        <v>1.3795295999999999</v>
      </c>
      <c r="H4186" s="73"/>
      <c r="I4186" s="74"/>
      <c r="J4186" s="155">
        <v>0</v>
      </c>
    </row>
    <row r="4187" spans="1:10" ht="40.200000000000003" hidden="1" thickBot="1" x14ac:dyDescent="0.35">
      <c r="A4187" s="227"/>
      <c r="B4187" s="224"/>
      <c r="C4187" s="36" t="s">
        <v>1341</v>
      </c>
      <c r="D4187" s="36" t="s">
        <v>983</v>
      </c>
      <c r="E4187" s="37">
        <v>6.1999999999999998E-3</v>
      </c>
      <c r="F4187" s="54">
        <v>139.11949999999999</v>
      </c>
      <c r="G4187" s="54">
        <f t="shared" si="71"/>
        <v>0.86254089999999994</v>
      </c>
      <c r="H4187" s="73"/>
      <c r="I4187" s="74"/>
      <c r="J4187" s="155">
        <v>0</v>
      </c>
    </row>
    <row r="4188" spans="1:10" ht="40.200000000000003" hidden="1" thickBot="1" x14ac:dyDescent="0.35">
      <c r="A4188" s="227"/>
      <c r="B4188" s="224"/>
      <c r="C4188" s="36" t="s">
        <v>1342</v>
      </c>
      <c r="D4188" s="36" t="s">
        <v>985</v>
      </c>
      <c r="E4188" s="37">
        <v>1.0500000000000001E-2</v>
      </c>
      <c r="F4188" s="54">
        <v>46.018999999999998</v>
      </c>
      <c r="G4188" s="54">
        <f t="shared" si="71"/>
        <v>0.4831995</v>
      </c>
      <c r="H4188" s="73"/>
      <c r="I4188" s="74"/>
      <c r="J4188" s="155">
        <v>0</v>
      </c>
    </row>
    <row r="4189" spans="1:10" ht="27" hidden="1" thickBot="1" x14ac:dyDescent="0.35">
      <c r="A4189" s="227"/>
      <c r="B4189" s="224"/>
      <c r="C4189" s="36" t="s">
        <v>1343</v>
      </c>
      <c r="D4189" s="36" t="s">
        <v>985</v>
      </c>
      <c r="E4189" s="37">
        <v>1.2200000000000001E-2</v>
      </c>
      <c r="F4189" s="54">
        <v>26.154499999999999</v>
      </c>
      <c r="G4189" s="54">
        <f t="shared" si="71"/>
        <v>0.3190849</v>
      </c>
      <c r="H4189" s="73"/>
      <c r="I4189" s="74"/>
      <c r="J4189" s="155">
        <v>0</v>
      </c>
    </row>
    <row r="4190" spans="1:10" ht="27" hidden="1" thickBot="1" x14ac:dyDescent="0.35">
      <c r="A4190" s="227"/>
      <c r="B4190" s="224"/>
      <c r="C4190" s="36" t="s">
        <v>1344</v>
      </c>
      <c r="D4190" s="36" t="s">
        <v>983</v>
      </c>
      <c r="E4190" s="37">
        <v>4.4999999999999997E-3</v>
      </c>
      <c r="F4190" s="54">
        <v>116.56049999999999</v>
      </c>
      <c r="G4190" s="54">
        <f t="shared" si="71"/>
        <v>0.52452224999999997</v>
      </c>
      <c r="H4190" s="73"/>
      <c r="I4190" s="74"/>
      <c r="J4190" s="155">
        <v>0</v>
      </c>
    </row>
    <row r="4191" spans="1:10" ht="27" hidden="1" thickBot="1" x14ac:dyDescent="0.35">
      <c r="A4191" s="227"/>
      <c r="B4191" s="224"/>
      <c r="C4191" s="36" t="s">
        <v>1345</v>
      </c>
      <c r="D4191" s="36" t="s">
        <v>985</v>
      </c>
      <c r="E4191" s="37">
        <v>1.2200000000000001E-2</v>
      </c>
      <c r="F4191" s="54">
        <v>3.6804999999999999</v>
      </c>
      <c r="G4191" s="54">
        <f t="shared" si="71"/>
        <v>4.49021E-2</v>
      </c>
      <c r="H4191" s="73"/>
      <c r="I4191" s="74"/>
      <c r="J4191" s="155">
        <v>0</v>
      </c>
    </row>
    <row r="4192" spans="1:10" ht="27" hidden="1" thickBot="1" x14ac:dyDescent="0.35">
      <c r="A4192" s="227"/>
      <c r="B4192" s="224"/>
      <c r="C4192" s="36" t="s">
        <v>1346</v>
      </c>
      <c r="D4192" s="36" t="s">
        <v>983</v>
      </c>
      <c r="E4192" s="37">
        <v>4.4999999999999997E-3</v>
      </c>
      <c r="F4192" s="54">
        <v>7.7434999999999992</v>
      </c>
      <c r="G4192" s="54">
        <f t="shared" si="71"/>
        <v>3.4845749999999995E-2</v>
      </c>
      <c r="H4192" s="73"/>
      <c r="I4192" s="74"/>
      <c r="J4192" s="155">
        <v>0</v>
      </c>
    </row>
    <row r="4193" spans="1:10" ht="40.200000000000003" hidden="1" thickBot="1" x14ac:dyDescent="0.35">
      <c r="A4193" s="227"/>
      <c r="B4193" s="224"/>
      <c r="C4193" s="36" t="s">
        <v>1347</v>
      </c>
      <c r="D4193" s="36" t="s">
        <v>983</v>
      </c>
      <c r="E4193" s="37">
        <v>1.67E-2</v>
      </c>
      <c r="F4193" s="54">
        <v>277.62700000000001</v>
      </c>
      <c r="G4193" s="54">
        <f t="shared" si="71"/>
        <v>4.6363709000000002</v>
      </c>
      <c r="H4193" s="73"/>
      <c r="I4193" s="74"/>
      <c r="J4193" s="155">
        <v>0</v>
      </c>
    </row>
    <row r="4194" spans="1:10" ht="40.200000000000003" hidden="1" thickBot="1" x14ac:dyDescent="0.35">
      <c r="A4194" s="227"/>
      <c r="B4194" s="224"/>
      <c r="C4194" s="36" t="s">
        <v>1348</v>
      </c>
      <c r="D4194" s="36" t="s">
        <v>983</v>
      </c>
      <c r="E4194" s="37">
        <v>2.7199999999999998E-2</v>
      </c>
      <c r="F4194" s="54">
        <v>171.58949999999999</v>
      </c>
      <c r="G4194" s="54">
        <f t="shared" si="71"/>
        <v>4.667234399999999</v>
      </c>
      <c r="H4194" s="73"/>
      <c r="I4194" s="74"/>
      <c r="J4194" s="155">
        <v>0</v>
      </c>
    </row>
    <row r="4195" spans="1:10" ht="15" hidden="1" thickBot="1" x14ac:dyDescent="0.35">
      <c r="A4195" s="227"/>
      <c r="B4195" s="224"/>
      <c r="C4195" s="36" t="s">
        <v>745</v>
      </c>
      <c r="D4195" s="36" t="s">
        <v>744</v>
      </c>
      <c r="E4195" s="37">
        <v>0.3</v>
      </c>
      <c r="F4195" s="54">
        <v>14.968499999999999</v>
      </c>
      <c r="G4195" s="54">
        <f t="shared" si="71"/>
        <v>4.4905499999999998</v>
      </c>
      <c r="H4195" s="73"/>
      <c r="I4195" s="74"/>
      <c r="J4195" s="155">
        <v>0</v>
      </c>
    </row>
    <row r="4196" spans="1:10" ht="27" hidden="1" thickBot="1" x14ac:dyDescent="0.35">
      <c r="A4196" s="227"/>
      <c r="B4196" s="224"/>
      <c r="C4196" s="36" t="s">
        <v>1349</v>
      </c>
      <c r="D4196" s="36" t="s">
        <v>110</v>
      </c>
      <c r="E4196" s="37">
        <v>0.18</v>
      </c>
      <c r="F4196" s="54">
        <v>119.34</v>
      </c>
      <c r="G4196" s="54">
        <f t="shared" si="71"/>
        <v>21.481200000000001</v>
      </c>
      <c r="H4196" s="73"/>
      <c r="I4196" s="74"/>
      <c r="J4196" s="155">
        <v>0</v>
      </c>
    </row>
    <row r="4197" spans="1:10" ht="27" hidden="1" thickBot="1" x14ac:dyDescent="0.35">
      <c r="A4197" s="227"/>
      <c r="B4197" s="224"/>
      <c r="C4197" s="36" t="s">
        <v>798</v>
      </c>
      <c r="D4197" s="36" t="s">
        <v>110</v>
      </c>
      <c r="E4197" s="37">
        <v>1.26</v>
      </c>
      <c r="F4197" s="54">
        <v>129.10649999999998</v>
      </c>
      <c r="G4197" s="54">
        <f t="shared" si="71"/>
        <v>162.67418999999998</v>
      </c>
      <c r="H4197" s="73"/>
      <c r="I4197" s="74"/>
      <c r="J4197" s="155">
        <v>0</v>
      </c>
    </row>
    <row r="4198" spans="1:10" ht="27" hidden="1" thickBot="1" x14ac:dyDescent="0.35">
      <c r="A4198" s="227"/>
      <c r="B4198" s="224"/>
      <c r="C4198" s="36" t="s">
        <v>1350</v>
      </c>
      <c r="D4198" s="36" t="s">
        <v>1351</v>
      </c>
      <c r="E4198" s="37">
        <v>0.14000000000000001</v>
      </c>
      <c r="F4198" s="54">
        <v>2706.0259999999998</v>
      </c>
      <c r="G4198" s="54">
        <f t="shared" si="71"/>
        <v>378.84363999999999</v>
      </c>
      <c r="H4198" s="73"/>
      <c r="I4198" s="74"/>
      <c r="J4198" s="155">
        <v>0</v>
      </c>
    </row>
    <row r="4199" spans="1:10" ht="27" hidden="1" thickBot="1" x14ac:dyDescent="0.35">
      <c r="A4199" s="227"/>
      <c r="B4199" s="224"/>
      <c r="C4199" s="36" t="s">
        <v>1352</v>
      </c>
      <c r="D4199" s="36" t="s">
        <v>983</v>
      </c>
      <c r="E4199" s="37">
        <v>0.05</v>
      </c>
      <c r="F4199" s="54">
        <v>113.917</v>
      </c>
      <c r="G4199" s="54">
        <f t="shared" si="71"/>
        <v>5.6958500000000001</v>
      </c>
      <c r="H4199" s="73"/>
      <c r="I4199" s="74"/>
      <c r="J4199" s="155">
        <v>0</v>
      </c>
    </row>
    <row r="4200" spans="1:10" ht="40.200000000000003" hidden="1" thickBot="1" x14ac:dyDescent="0.35">
      <c r="A4200" s="227"/>
      <c r="B4200" s="224"/>
      <c r="C4200" s="36" t="s">
        <v>1353</v>
      </c>
      <c r="D4200" s="36" t="s">
        <v>983</v>
      </c>
      <c r="E4200" s="37">
        <v>2.1000000000000001E-2</v>
      </c>
      <c r="F4200" s="54">
        <v>138.2355</v>
      </c>
      <c r="G4200" s="54">
        <f t="shared" si="71"/>
        <v>2.9029455000000004</v>
      </c>
      <c r="H4200" s="73"/>
      <c r="I4200" s="74"/>
      <c r="J4200" s="155">
        <v>0</v>
      </c>
    </row>
    <row r="4201" spans="1:10" ht="40.200000000000003" hidden="1" thickBot="1" x14ac:dyDescent="0.35">
      <c r="A4201" s="227"/>
      <c r="B4201" s="224"/>
      <c r="C4201" s="36" t="s">
        <v>1354</v>
      </c>
      <c r="D4201" s="36" t="s">
        <v>985</v>
      </c>
      <c r="E4201" s="37">
        <v>2.9000000000000001E-2</v>
      </c>
      <c r="F4201" s="54">
        <v>52.427999999999997</v>
      </c>
      <c r="G4201" s="54">
        <f t="shared" si="71"/>
        <v>1.5204120000000001</v>
      </c>
      <c r="H4201" s="73"/>
      <c r="I4201" s="74"/>
      <c r="J4201" s="155">
        <v>0</v>
      </c>
    </row>
    <row r="4202" spans="1:10" ht="27" hidden="1" thickBot="1" x14ac:dyDescent="0.35">
      <c r="A4202" s="227"/>
      <c r="B4202" s="224"/>
      <c r="C4202" s="36" t="s">
        <v>1355</v>
      </c>
      <c r="D4202" s="36" t="s">
        <v>983</v>
      </c>
      <c r="E4202" s="37">
        <v>0.05</v>
      </c>
      <c r="F4202" s="54">
        <v>109.05500000000001</v>
      </c>
      <c r="G4202" s="54">
        <f t="shared" si="71"/>
        <v>5.4527500000000009</v>
      </c>
      <c r="H4202" s="73"/>
      <c r="I4202" s="74"/>
      <c r="J4202" s="155">
        <v>0</v>
      </c>
    </row>
    <row r="4203" spans="1:10" ht="27" hidden="1" thickBot="1" x14ac:dyDescent="0.35">
      <c r="A4203" s="227"/>
      <c r="B4203" s="224"/>
      <c r="C4203" s="36" t="s">
        <v>1356</v>
      </c>
      <c r="D4203" s="36" t="s">
        <v>983</v>
      </c>
      <c r="E4203" s="37">
        <v>0.1</v>
      </c>
      <c r="F4203" s="54">
        <v>155.8475</v>
      </c>
      <c r="G4203" s="54">
        <f t="shared" si="71"/>
        <v>15.58475</v>
      </c>
      <c r="H4203" s="73"/>
      <c r="I4203" s="74"/>
      <c r="J4203" s="155">
        <v>0</v>
      </c>
    </row>
    <row r="4204" spans="1:10" ht="53.4" hidden="1" thickBot="1" x14ac:dyDescent="0.35">
      <c r="A4204" s="227"/>
      <c r="B4204" s="224"/>
      <c r="C4204" s="36" t="s">
        <v>1931</v>
      </c>
      <c r="D4204" s="36" t="s">
        <v>110</v>
      </c>
      <c r="E4204" s="37">
        <f>1*(E4196+E4197)</f>
        <v>1.44</v>
      </c>
      <c r="F4204" s="34">
        <v>5.4059098999999993</v>
      </c>
      <c r="G4204" s="34">
        <f t="shared" si="71"/>
        <v>7.784510255999999</v>
      </c>
      <c r="H4204" s="35"/>
      <c r="I4204" s="31"/>
      <c r="J4204" s="155">
        <v>0</v>
      </c>
    </row>
    <row r="4205" spans="1:10" ht="27" hidden="1" thickBot="1" x14ac:dyDescent="0.35">
      <c r="A4205" s="227"/>
      <c r="B4205" s="224"/>
      <c r="C4205" s="36" t="s">
        <v>123</v>
      </c>
      <c r="D4205" s="36" t="s">
        <v>124</v>
      </c>
      <c r="E4205" s="37">
        <f>20*(E4197+E4196)</f>
        <v>28.799999999999997</v>
      </c>
      <c r="F4205" s="54">
        <v>1.7893647499999998</v>
      </c>
      <c r="G4205" s="54">
        <f t="shared" si="71"/>
        <v>51.533704799999988</v>
      </c>
      <c r="H4205" s="73"/>
      <c r="I4205" s="74"/>
      <c r="J4205" s="155">
        <v>0</v>
      </c>
    </row>
    <row r="4206" spans="1:10" ht="15" hidden="1" thickBot="1" x14ac:dyDescent="0.35">
      <c r="A4206" s="227"/>
      <c r="B4206" s="224"/>
      <c r="C4206" s="36"/>
      <c r="D4206" s="36"/>
      <c r="E4206" s="37"/>
      <c r="F4206" s="54" t="s">
        <v>560</v>
      </c>
      <c r="G4206" s="54" t="str">
        <f t="shared" si="71"/>
        <v/>
      </c>
      <c r="H4206" s="73"/>
      <c r="I4206" s="74"/>
      <c r="J4206" s="155">
        <v>0</v>
      </c>
    </row>
    <row r="4207" spans="1:10" ht="27" hidden="1" thickBot="1" x14ac:dyDescent="0.35">
      <c r="A4207" s="227"/>
      <c r="B4207" s="224"/>
      <c r="C4207" s="48" t="s">
        <v>1337</v>
      </c>
      <c r="D4207" s="36"/>
      <c r="E4207" s="37"/>
      <c r="F4207" s="54" t="s">
        <v>560</v>
      </c>
      <c r="G4207" s="54" t="str">
        <f t="shared" si="71"/>
        <v/>
      </c>
      <c r="H4207" s="73"/>
      <c r="I4207" s="74"/>
      <c r="J4207" s="155">
        <v>0</v>
      </c>
    </row>
    <row r="4208" spans="1:10" ht="15" hidden="1" thickBot="1" x14ac:dyDescent="0.35">
      <c r="A4208" s="228"/>
      <c r="B4208" s="225"/>
      <c r="C4208" s="55"/>
      <c r="D4208" s="55"/>
      <c r="E4208" s="66"/>
      <c r="F4208" s="76" t="s">
        <v>560</v>
      </c>
      <c r="G4208" s="76" t="str">
        <f t="shared" si="71"/>
        <v/>
      </c>
      <c r="H4208" s="77"/>
      <c r="I4208" s="74"/>
      <c r="J4208" s="155">
        <v>0</v>
      </c>
    </row>
    <row r="4209" spans="1:10" ht="15" hidden="1" thickBot="1" x14ac:dyDescent="0.35">
      <c r="A4209" s="226" t="s">
        <v>1357</v>
      </c>
      <c r="B4209" s="223" t="e">
        <f>INDEX(#REF!,MATCH(Composições!A4209,#REF!,0),2)</f>
        <v>#REF!</v>
      </c>
      <c r="C4209" s="41"/>
      <c r="D4209" s="26" t="e">
        <f>TRIM(INDEX(#REF!,MATCH(Composições!A4209,#REF!,0),1))</f>
        <v>#REF!</v>
      </c>
      <c r="E4209" s="27"/>
      <c r="F4209" s="49" t="s">
        <v>560</v>
      </c>
      <c r="G4209" s="28" t="str">
        <f t="shared" si="71"/>
        <v/>
      </c>
      <c r="H4209" s="29"/>
      <c r="I4209" s="30"/>
      <c r="J4209" s="155">
        <v>0</v>
      </c>
    </row>
    <row r="4210" spans="1:10" ht="15" hidden="1" thickBot="1" x14ac:dyDescent="0.35">
      <c r="A4210" s="227"/>
      <c r="B4210" s="224"/>
      <c r="C4210" s="32"/>
      <c r="D4210" s="32"/>
      <c r="E4210" s="33"/>
      <c r="F4210" s="54" t="s">
        <v>560</v>
      </c>
      <c r="G4210" s="54" t="str">
        <f t="shared" si="71"/>
        <v/>
      </c>
      <c r="H4210" s="73"/>
      <c r="I4210" s="74"/>
      <c r="J4210" s="155">
        <v>0</v>
      </c>
    </row>
    <row r="4211" spans="1:10" ht="15" hidden="1" thickBot="1" x14ac:dyDescent="0.35">
      <c r="A4211" s="227"/>
      <c r="B4211" s="224"/>
      <c r="C4211" s="36" t="s">
        <v>745</v>
      </c>
      <c r="D4211" s="36" t="s">
        <v>744</v>
      </c>
      <c r="E4211" s="37">
        <f>6/0.5</f>
        <v>12</v>
      </c>
      <c r="F4211" s="54">
        <v>14.968499999999999</v>
      </c>
      <c r="G4211" s="54">
        <f t="shared" si="71"/>
        <v>179.62199999999999</v>
      </c>
      <c r="H4211" s="39">
        <f>SUM(G4211:G4214)</f>
        <v>179.62199999999999</v>
      </c>
      <c r="I4211" s="40"/>
      <c r="J4211" s="155">
        <v>0</v>
      </c>
    </row>
    <row r="4212" spans="1:10" ht="15" hidden="1" thickBot="1" x14ac:dyDescent="0.35">
      <c r="A4212" s="227"/>
      <c r="B4212" s="224"/>
      <c r="C4212" s="36" t="s">
        <v>1358</v>
      </c>
      <c r="D4212" s="36" t="s">
        <v>983</v>
      </c>
      <c r="E4212" s="37">
        <f>0.2/0.5</f>
        <v>0.4</v>
      </c>
      <c r="F4212" s="54">
        <v>0</v>
      </c>
      <c r="G4212" s="54">
        <f t="shared" si="71"/>
        <v>0</v>
      </c>
      <c r="H4212" s="73"/>
      <c r="I4212" s="74"/>
      <c r="J4212" s="155">
        <v>0</v>
      </c>
    </row>
    <row r="4213" spans="1:10" ht="15" hidden="1" thickBot="1" x14ac:dyDescent="0.35">
      <c r="A4213" s="227"/>
      <c r="B4213" s="224"/>
      <c r="C4213" s="36" t="s">
        <v>1359</v>
      </c>
      <c r="D4213" s="36" t="s">
        <v>985</v>
      </c>
      <c r="E4213" s="37">
        <f>0.8/0.5</f>
        <v>1.6</v>
      </c>
      <c r="F4213" s="54">
        <v>0</v>
      </c>
      <c r="G4213" s="54">
        <f t="shared" si="71"/>
        <v>0</v>
      </c>
      <c r="H4213" s="73"/>
      <c r="I4213" s="74"/>
      <c r="J4213" s="155">
        <v>0</v>
      </c>
    </row>
    <row r="4214" spans="1:10" ht="15" hidden="1" thickBot="1" x14ac:dyDescent="0.35">
      <c r="A4214" s="227"/>
      <c r="B4214" s="224"/>
      <c r="C4214" s="36" t="s">
        <v>1360</v>
      </c>
      <c r="D4214" s="36" t="s">
        <v>42</v>
      </c>
      <c r="E4214" s="37">
        <v>2500</v>
      </c>
      <c r="F4214" s="54" t="s">
        <v>560</v>
      </c>
      <c r="G4214" s="54" t="str">
        <f t="shared" si="71"/>
        <v/>
      </c>
      <c r="H4214" s="73"/>
      <c r="I4214" s="74"/>
      <c r="J4214" s="155">
        <v>0</v>
      </c>
    </row>
    <row r="4215" spans="1:10" ht="15" hidden="1" thickBot="1" x14ac:dyDescent="0.35">
      <c r="A4215" s="228"/>
      <c r="B4215" s="225"/>
      <c r="C4215" s="55"/>
      <c r="D4215" s="55"/>
      <c r="E4215" s="66"/>
      <c r="F4215" s="76" t="s">
        <v>560</v>
      </c>
      <c r="G4215" s="76" t="str">
        <f t="shared" si="71"/>
        <v/>
      </c>
      <c r="H4215" s="77"/>
      <c r="I4215" s="74"/>
      <c r="J4215" s="155">
        <v>0</v>
      </c>
    </row>
    <row r="4216" spans="1:10" ht="15" thickBot="1" x14ac:dyDescent="0.35">
      <c r="A4216" s="226" t="s">
        <v>1361</v>
      </c>
      <c r="B4216" s="223" t="str">
        <f>INDEX(Orçamentária!A:B,MATCH(Composições!A4216,Orçamentária!A:A,0),2)</f>
        <v>Pintura para sinalização e demarcação viária horizontal</v>
      </c>
      <c r="C4216" s="41"/>
      <c r="D4216" s="26" t="str">
        <f>TRIM(INDEX(Orçamentária!C:C,MATCH(Composições!A4216,Orçamentária!A:A,0),1))</f>
        <v>m2</v>
      </c>
      <c r="E4216" s="27"/>
      <c r="F4216" s="49" t="s">
        <v>560</v>
      </c>
      <c r="G4216" s="28" t="str">
        <f t="shared" si="71"/>
        <v/>
      </c>
      <c r="H4216" s="29"/>
      <c r="I4216" s="30"/>
      <c r="J4216" s="155">
        <v>60</v>
      </c>
    </row>
    <row r="4217" spans="1:10" x14ac:dyDescent="0.3">
      <c r="A4217" s="227"/>
      <c r="B4217" s="224"/>
      <c r="C4217" s="32"/>
      <c r="D4217" s="32"/>
      <c r="E4217" s="33"/>
      <c r="F4217" s="54" t="s">
        <v>560</v>
      </c>
      <c r="G4217" s="54" t="str">
        <f t="shared" si="71"/>
        <v/>
      </c>
      <c r="H4217" s="73"/>
      <c r="I4217" s="74"/>
      <c r="J4217" s="155">
        <v>60</v>
      </c>
    </row>
    <row r="4218" spans="1:10" x14ac:dyDescent="0.3">
      <c r="A4218" s="227"/>
      <c r="B4218" s="224"/>
      <c r="C4218" s="36" t="s">
        <v>1317</v>
      </c>
      <c r="D4218" s="36" t="s">
        <v>103</v>
      </c>
      <c r="E4218" s="37">
        <v>0.13</v>
      </c>
      <c r="F4218" s="54">
        <v>11.1435</v>
      </c>
      <c r="G4218" s="54">
        <f t="shared" si="71"/>
        <v>1.448655</v>
      </c>
      <c r="H4218" s="39">
        <f>SUM(G4218:G4224)</f>
        <v>13.19775875</v>
      </c>
      <c r="I4218" s="40"/>
      <c r="J4218" s="155">
        <v>60</v>
      </c>
    </row>
    <row r="4219" spans="1:10" ht="52.8" x14ac:dyDescent="0.3">
      <c r="A4219" s="227"/>
      <c r="B4219" s="224"/>
      <c r="C4219" s="36" t="s">
        <v>1362</v>
      </c>
      <c r="D4219" s="36" t="s">
        <v>983</v>
      </c>
      <c r="E4219" s="37">
        <v>3.3E-3</v>
      </c>
      <c r="F4219" s="54">
        <v>123.437</v>
      </c>
      <c r="G4219" s="54">
        <f t="shared" si="71"/>
        <v>0.40734209999999998</v>
      </c>
      <c r="H4219" s="73"/>
      <c r="I4219" s="74"/>
      <c r="J4219" s="155">
        <v>60</v>
      </c>
    </row>
    <row r="4220" spans="1:10" ht="26.4" x14ac:dyDescent="0.3">
      <c r="A4220" s="227"/>
      <c r="B4220" s="224"/>
      <c r="C4220" s="36" t="s">
        <v>1363</v>
      </c>
      <c r="D4220" s="36" t="s">
        <v>103</v>
      </c>
      <c r="E4220" s="37">
        <v>0.6</v>
      </c>
      <c r="F4220" s="54">
        <v>12.954000000000001</v>
      </c>
      <c r="G4220" s="54">
        <f t="shared" si="71"/>
        <v>7.7724000000000002</v>
      </c>
      <c r="H4220" s="73"/>
      <c r="I4220" s="74"/>
      <c r="J4220" s="155">
        <v>60</v>
      </c>
    </row>
    <row r="4221" spans="1:10" x14ac:dyDescent="0.3">
      <c r="A4221" s="227"/>
      <c r="B4221" s="224"/>
      <c r="C4221" s="36" t="s">
        <v>1137</v>
      </c>
      <c r="D4221" s="36" t="s">
        <v>103</v>
      </c>
      <c r="E4221" s="37">
        <v>0.03</v>
      </c>
      <c r="F4221" s="54">
        <v>13.115499999999999</v>
      </c>
      <c r="G4221" s="54">
        <f t="shared" si="71"/>
        <v>0.39346499999999995</v>
      </c>
      <c r="H4221" s="73"/>
      <c r="I4221" s="74"/>
      <c r="J4221" s="155">
        <v>60</v>
      </c>
    </row>
    <row r="4222" spans="1:10" ht="26.4" x14ac:dyDescent="0.3">
      <c r="A4222" s="227"/>
      <c r="B4222" s="224"/>
      <c r="C4222" s="36" t="s">
        <v>1364</v>
      </c>
      <c r="D4222" s="36" t="s">
        <v>939</v>
      </c>
      <c r="E4222" s="37">
        <v>0.4</v>
      </c>
      <c r="F4222" s="54">
        <v>5.7544999999999993</v>
      </c>
      <c r="G4222" s="54">
        <f t="shared" si="71"/>
        <v>2.3017999999999996</v>
      </c>
      <c r="H4222" s="73"/>
      <c r="I4222" s="74"/>
      <c r="J4222" s="155">
        <v>60</v>
      </c>
    </row>
    <row r="4223" spans="1:10" x14ac:dyDescent="0.3">
      <c r="A4223" s="227"/>
      <c r="B4223" s="224"/>
      <c r="C4223" s="36" t="s">
        <v>745</v>
      </c>
      <c r="D4223" s="36" t="s">
        <v>744</v>
      </c>
      <c r="E4223" s="37">
        <v>3.3300000000000003E-2</v>
      </c>
      <c r="F4223" s="54">
        <v>14.968499999999999</v>
      </c>
      <c r="G4223" s="54">
        <f t="shared" si="71"/>
        <v>0.49845105000000001</v>
      </c>
      <c r="H4223" s="73"/>
      <c r="I4223" s="74"/>
      <c r="J4223" s="155">
        <v>60</v>
      </c>
    </row>
    <row r="4224" spans="1:10" ht="26.4" x14ac:dyDescent="0.3">
      <c r="A4224" s="227"/>
      <c r="B4224" s="224"/>
      <c r="C4224" s="36" t="s">
        <v>1365</v>
      </c>
      <c r="D4224" s="36" t="s">
        <v>983</v>
      </c>
      <c r="E4224" s="37">
        <v>3.3E-3</v>
      </c>
      <c r="F4224" s="54">
        <v>113.83199999999998</v>
      </c>
      <c r="G4224" s="54">
        <f t="shared" si="71"/>
        <v>0.37564559999999991</v>
      </c>
      <c r="H4224" s="73"/>
      <c r="I4224" s="74"/>
      <c r="J4224" s="155">
        <v>60</v>
      </c>
    </row>
    <row r="4225" spans="1:10" ht="15" thickBot="1" x14ac:dyDescent="0.35">
      <c r="A4225" s="228"/>
      <c r="B4225" s="225"/>
      <c r="C4225" s="55"/>
      <c r="D4225" s="55"/>
      <c r="E4225" s="66"/>
      <c r="F4225" s="76" t="s">
        <v>560</v>
      </c>
      <c r="G4225" s="76" t="str">
        <f t="shared" si="71"/>
        <v/>
      </c>
      <c r="H4225" s="77"/>
      <c r="I4225" s="74"/>
      <c r="J4225" s="155">
        <v>60</v>
      </c>
    </row>
    <row r="4226" spans="1:10" ht="15" hidden="1" thickBot="1" x14ac:dyDescent="0.35">
      <c r="A4226" s="226" t="s">
        <v>1366</v>
      </c>
      <c r="B4226" s="223" t="e">
        <f>INDEX(#REF!,MATCH(Composições!A4226,#REF!,0),2)</f>
        <v>#REF!</v>
      </c>
      <c r="C4226" s="41"/>
      <c r="D4226" s="26" t="e">
        <f>TRIM(INDEX(#REF!,MATCH(Composições!A4226,#REF!,0),1))</f>
        <v>#REF!</v>
      </c>
      <c r="E4226" s="27"/>
      <c r="F4226" s="49" t="s">
        <v>560</v>
      </c>
      <c r="G4226" s="28" t="str">
        <f t="shared" si="71"/>
        <v/>
      </c>
      <c r="H4226" s="29"/>
      <c r="I4226" s="30"/>
      <c r="J4226" s="155">
        <v>0</v>
      </c>
    </row>
    <row r="4227" spans="1:10" ht="15" hidden="1" thickBot="1" x14ac:dyDescent="0.35">
      <c r="A4227" s="227"/>
      <c r="B4227" s="224"/>
      <c r="C4227" s="32"/>
      <c r="D4227" s="32"/>
      <c r="E4227" s="33"/>
      <c r="F4227" s="54" t="s">
        <v>560</v>
      </c>
      <c r="G4227" s="54" t="str">
        <f t="shared" si="71"/>
        <v/>
      </c>
      <c r="H4227" s="73"/>
      <c r="I4227" s="74"/>
      <c r="J4227" s="155">
        <v>0</v>
      </c>
    </row>
    <row r="4228" spans="1:10" ht="40.200000000000003" hidden="1" thickBot="1" x14ac:dyDescent="0.35">
      <c r="A4228" s="227"/>
      <c r="B4228" s="224"/>
      <c r="C4228" s="36" t="s">
        <v>1845</v>
      </c>
      <c r="D4228" s="47" t="s">
        <v>1035</v>
      </c>
      <c r="E4228" s="37">
        <v>1.1659999999999999</v>
      </c>
      <c r="F4228" s="54">
        <v>61.284999999999997</v>
      </c>
      <c r="G4228" s="54">
        <f t="shared" si="71"/>
        <v>71.458309999999997</v>
      </c>
      <c r="H4228" s="39">
        <f>SUM(G4228:G4233)</f>
        <v>82.345610649999998</v>
      </c>
      <c r="I4228" s="40"/>
      <c r="J4228" s="155">
        <v>0</v>
      </c>
    </row>
    <row r="4229" spans="1:10" ht="40.200000000000003" hidden="1" thickBot="1" x14ac:dyDescent="0.35">
      <c r="A4229" s="227"/>
      <c r="B4229" s="224"/>
      <c r="C4229" s="36" t="s">
        <v>1367</v>
      </c>
      <c r="D4229" s="47" t="s">
        <v>781</v>
      </c>
      <c r="E4229" s="37">
        <v>4.1500000000000004</v>
      </c>
      <c r="F4229" s="54">
        <v>1.7934999999999999</v>
      </c>
      <c r="G4229" s="54">
        <f t="shared" si="71"/>
        <v>7.4430250000000004</v>
      </c>
      <c r="H4229" s="73"/>
      <c r="I4229" s="74"/>
      <c r="J4229" s="155">
        <v>0</v>
      </c>
    </row>
    <row r="4230" spans="1:10" ht="15" hidden="1" thickBot="1" x14ac:dyDescent="0.35">
      <c r="A4230" s="227"/>
      <c r="B4230" s="224"/>
      <c r="C4230" s="36" t="s">
        <v>745</v>
      </c>
      <c r="D4230" s="36" t="s">
        <v>744</v>
      </c>
      <c r="E4230" s="37">
        <v>9.7000000000000003E-2</v>
      </c>
      <c r="F4230" s="54">
        <v>14.968499999999999</v>
      </c>
      <c r="G4230" s="54">
        <f t="shared" si="71"/>
        <v>1.4519445</v>
      </c>
      <c r="H4230" s="73"/>
      <c r="I4230" s="74"/>
      <c r="J4230" s="155">
        <v>0</v>
      </c>
    </row>
    <row r="4231" spans="1:10" ht="15" hidden="1" thickBot="1" x14ac:dyDescent="0.35">
      <c r="A4231" s="227"/>
      <c r="B4231" s="224"/>
      <c r="C4231" s="36" t="s">
        <v>1368</v>
      </c>
      <c r="D4231" s="36" t="s">
        <v>744</v>
      </c>
      <c r="E4231" s="37">
        <v>9.0999999999999998E-2</v>
      </c>
      <c r="F4231" s="54">
        <v>21.496499999999997</v>
      </c>
      <c r="G4231" s="54">
        <f t="shared" si="71"/>
        <v>1.9561814999999998</v>
      </c>
      <c r="H4231" s="73"/>
      <c r="I4231" s="74"/>
      <c r="J4231" s="155">
        <v>0</v>
      </c>
    </row>
    <row r="4232" spans="1:10" ht="27" hidden="1" thickBot="1" x14ac:dyDescent="0.35">
      <c r="A4232" s="227"/>
      <c r="B4232" s="224"/>
      <c r="C4232" s="36" t="s">
        <v>1369</v>
      </c>
      <c r="D4232" s="36" t="s">
        <v>983</v>
      </c>
      <c r="E4232" s="37">
        <v>8.9999999999999998E-4</v>
      </c>
      <c r="F4232" s="54">
        <v>16.8385</v>
      </c>
      <c r="G4232" s="54">
        <f t="shared" si="71"/>
        <v>1.5154649999999999E-2</v>
      </c>
      <c r="H4232" s="73"/>
      <c r="I4232" s="74"/>
      <c r="J4232" s="155">
        <v>0</v>
      </c>
    </row>
    <row r="4233" spans="1:10" ht="27" hidden="1" thickBot="1" x14ac:dyDescent="0.35">
      <c r="A4233" s="227"/>
      <c r="B4233" s="224"/>
      <c r="C4233" s="36" t="s">
        <v>1370</v>
      </c>
      <c r="D4233" s="36" t="s">
        <v>985</v>
      </c>
      <c r="E4233" s="37">
        <v>1.2999999999999999E-3</v>
      </c>
      <c r="F4233" s="54">
        <v>16.149999999999999</v>
      </c>
      <c r="G4233" s="54">
        <f t="shared" si="71"/>
        <v>2.0994999999999996E-2</v>
      </c>
      <c r="H4233" s="73"/>
      <c r="I4233" s="74"/>
      <c r="J4233" s="155">
        <v>0</v>
      </c>
    </row>
    <row r="4234" spans="1:10" ht="15" hidden="1" thickBot="1" x14ac:dyDescent="0.35">
      <c r="A4234" s="228"/>
      <c r="B4234" s="225"/>
      <c r="C4234" s="55"/>
      <c r="D4234" s="55"/>
      <c r="E4234" s="66"/>
      <c r="F4234" s="76" t="s">
        <v>560</v>
      </c>
      <c r="G4234" s="76" t="str">
        <f t="shared" si="71"/>
        <v/>
      </c>
      <c r="H4234" s="77"/>
      <c r="I4234" s="74"/>
      <c r="J4234" s="155">
        <v>0</v>
      </c>
    </row>
    <row r="4235" spans="1:10" ht="15" hidden="1" thickBot="1" x14ac:dyDescent="0.35">
      <c r="A4235" s="226" t="s">
        <v>1371</v>
      </c>
      <c r="B4235" s="223" t="e">
        <f>INDEX(#REF!,MATCH(Composições!A4235,#REF!,0),2)</f>
        <v>#REF!</v>
      </c>
      <c r="C4235" s="41"/>
      <c r="D4235" s="26" t="e">
        <f>TRIM(INDEX(#REF!,MATCH(Composições!A4235,#REF!,0),1))</f>
        <v>#REF!</v>
      </c>
      <c r="E4235" s="27"/>
      <c r="F4235" s="49" t="s">
        <v>560</v>
      </c>
      <c r="G4235" s="28" t="str">
        <f t="shared" si="71"/>
        <v/>
      </c>
      <c r="H4235" s="29"/>
      <c r="I4235" s="30"/>
      <c r="J4235" s="155">
        <v>0</v>
      </c>
    </row>
    <row r="4236" spans="1:10" ht="15" hidden="1" thickBot="1" x14ac:dyDescent="0.35">
      <c r="A4236" s="227"/>
      <c r="B4236" s="224"/>
      <c r="C4236" s="32"/>
      <c r="D4236" s="32"/>
      <c r="E4236" s="33"/>
      <c r="F4236" s="54" t="s">
        <v>560</v>
      </c>
      <c r="G4236" s="54" t="str">
        <f t="shared" si="71"/>
        <v/>
      </c>
      <c r="H4236" s="73"/>
      <c r="I4236" s="74"/>
      <c r="J4236" s="155">
        <v>0</v>
      </c>
    </row>
    <row r="4237" spans="1:10" ht="40.200000000000003" hidden="1" thickBot="1" x14ac:dyDescent="0.35">
      <c r="A4237" s="227"/>
      <c r="B4237" s="224"/>
      <c r="C4237" s="36" t="s">
        <v>1367</v>
      </c>
      <c r="D4237" s="47" t="s">
        <v>781</v>
      </c>
      <c r="E4237" s="37">
        <v>4.1500000000000004</v>
      </c>
      <c r="F4237" s="54">
        <v>1.7934999999999999</v>
      </c>
      <c r="G4237" s="54">
        <f t="shared" si="71"/>
        <v>7.4430250000000004</v>
      </c>
      <c r="H4237" s="39">
        <f>SUM(G4237:G4242)</f>
        <v>9.8978148000000008</v>
      </c>
      <c r="I4237" s="40"/>
      <c r="J4237" s="155">
        <v>0</v>
      </c>
    </row>
    <row r="4238" spans="1:10" ht="15" hidden="1" thickBot="1" x14ac:dyDescent="0.35">
      <c r="A4238" s="227"/>
      <c r="B4238" s="224"/>
      <c r="C4238" s="36" t="s">
        <v>1941</v>
      </c>
      <c r="D4238" s="36" t="s">
        <v>93</v>
      </c>
      <c r="E4238" s="37">
        <v>1.0289999999999999</v>
      </c>
      <c r="F4238" s="54" t="s">
        <v>560</v>
      </c>
      <c r="G4238" s="54" t="str">
        <f t="shared" si="71"/>
        <v/>
      </c>
      <c r="H4238" s="73"/>
      <c r="I4238" s="74"/>
      <c r="J4238" s="155">
        <v>0</v>
      </c>
    </row>
    <row r="4239" spans="1:10" ht="15" hidden="1" thickBot="1" x14ac:dyDescent="0.35">
      <c r="A4239" s="227"/>
      <c r="B4239" s="224"/>
      <c r="C4239" s="36" t="s">
        <v>745</v>
      </c>
      <c r="D4239" s="36" t="s">
        <v>744</v>
      </c>
      <c r="E4239" s="37">
        <v>7.2999999999999995E-2</v>
      </c>
      <c r="F4239" s="54">
        <v>14.968499999999999</v>
      </c>
      <c r="G4239" s="54">
        <f t="shared" si="71"/>
        <v>1.0927004999999999</v>
      </c>
      <c r="H4239" s="73"/>
      <c r="I4239" s="74"/>
      <c r="J4239" s="155">
        <v>0</v>
      </c>
    </row>
    <row r="4240" spans="1:10" ht="15" hidden="1" thickBot="1" x14ac:dyDescent="0.35">
      <c r="A4240" s="227"/>
      <c r="B4240" s="224"/>
      <c r="C4240" s="36" t="s">
        <v>1368</v>
      </c>
      <c r="D4240" s="36" t="s">
        <v>744</v>
      </c>
      <c r="E4240" s="37">
        <v>0.06</v>
      </c>
      <c r="F4240" s="54">
        <v>21.496499999999997</v>
      </c>
      <c r="G4240" s="54">
        <f t="shared" si="71"/>
        <v>1.2897899999999998</v>
      </c>
      <c r="H4240" s="73"/>
      <c r="I4240" s="74"/>
      <c r="J4240" s="155">
        <v>0</v>
      </c>
    </row>
    <row r="4241" spans="1:10" ht="27" hidden="1" thickBot="1" x14ac:dyDescent="0.35">
      <c r="A4241" s="227"/>
      <c r="B4241" s="224"/>
      <c r="C4241" s="36" t="s">
        <v>1369</v>
      </c>
      <c r="D4241" s="36" t="s">
        <v>983</v>
      </c>
      <c r="E4241" s="37">
        <v>1.8E-3</v>
      </c>
      <c r="F4241" s="54">
        <v>16.8385</v>
      </c>
      <c r="G4241" s="54">
        <f t="shared" si="71"/>
        <v>3.0309299999999997E-2</v>
      </c>
      <c r="H4241" s="73"/>
      <c r="I4241" s="74"/>
      <c r="J4241" s="155">
        <v>0</v>
      </c>
    </row>
    <row r="4242" spans="1:10" ht="27" hidden="1" thickBot="1" x14ac:dyDescent="0.35">
      <c r="A4242" s="227"/>
      <c r="B4242" s="224"/>
      <c r="C4242" s="36" t="s">
        <v>1370</v>
      </c>
      <c r="D4242" s="36" t="s">
        <v>985</v>
      </c>
      <c r="E4242" s="37">
        <v>2.5999999999999999E-3</v>
      </c>
      <c r="F4242" s="54">
        <v>16.149999999999999</v>
      </c>
      <c r="G4242" s="54">
        <f t="shared" ref="G4242:G4305" si="72">IF(ISNUMBER(F4242),E4242*F4242,"")</f>
        <v>4.1989999999999993E-2</v>
      </c>
      <c r="H4242" s="73"/>
      <c r="I4242" s="74"/>
      <c r="J4242" s="155">
        <v>0</v>
      </c>
    </row>
    <row r="4243" spans="1:10" ht="15" hidden="1" thickBot="1" x14ac:dyDescent="0.35">
      <c r="A4243" s="228"/>
      <c r="B4243" s="225"/>
      <c r="C4243" s="55"/>
      <c r="D4243" s="55"/>
      <c r="E4243" s="66"/>
      <c r="F4243" s="76" t="s">
        <v>560</v>
      </c>
      <c r="G4243" s="76" t="str">
        <f t="shared" si="72"/>
        <v/>
      </c>
      <c r="H4243" s="77"/>
      <c r="I4243" s="74"/>
      <c r="J4243" s="155">
        <v>0</v>
      </c>
    </row>
    <row r="4244" spans="1:10" ht="15" hidden="1" thickBot="1" x14ac:dyDescent="0.35">
      <c r="A4244" s="226" t="s">
        <v>1372</v>
      </c>
      <c r="B4244" s="223" t="e">
        <f>INDEX(#REF!,MATCH(Composições!A4244,#REF!,0),2)</f>
        <v>#REF!</v>
      </c>
      <c r="C4244" s="41"/>
      <c r="D4244" s="26" t="e">
        <f>TRIM(INDEX(#REF!,MATCH(Composições!A4244,#REF!,0),1))</f>
        <v>#REF!</v>
      </c>
      <c r="E4244" s="27"/>
      <c r="F4244" s="49" t="s">
        <v>560</v>
      </c>
      <c r="G4244" s="28" t="str">
        <f t="shared" si="72"/>
        <v/>
      </c>
      <c r="H4244" s="29"/>
      <c r="I4244" s="30"/>
      <c r="J4244" s="155">
        <v>0</v>
      </c>
    </row>
    <row r="4245" spans="1:10" ht="15" hidden="1" thickBot="1" x14ac:dyDescent="0.35">
      <c r="A4245" s="227"/>
      <c r="B4245" s="224"/>
      <c r="C4245" s="32"/>
      <c r="D4245" s="32"/>
      <c r="E4245" s="33"/>
      <c r="F4245" s="54" t="s">
        <v>560</v>
      </c>
      <c r="G4245" s="54" t="str">
        <f t="shared" si="72"/>
        <v/>
      </c>
      <c r="H4245" s="73"/>
      <c r="I4245" s="74"/>
      <c r="J4245" s="155">
        <v>0</v>
      </c>
    </row>
    <row r="4246" spans="1:10" ht="27" hidden="1" thickBot="1" x14ac:dyDescent="0.35">
      <c r="A4246" s="227"/>
      <c r="B4246" s="224"/>
      <c r="C4246" s="36" t="s">
        <v>1373</v>
      </c>
      <c r="D4246" s="47" t="s">
        <v>1035</v>
      </c>
      <c r="E4246" s="37">
        <v>1.1659999999999999</v>
      </c>
      <c r="F4246" s="54" t="s">
        <v>560</v>
      </c>
      <c r="G4246" s="54" t="str">
        <f t="shared" si="72"/>
        <v/>
      </c>
      <c r="H4246" s="39">
        <f>SUM(G4246:G4251)</f>
        <v>10.887300649999998</v>
      </c>
      <c r="I4246" s="40"/>
      <c r="J4246" s="155">
        <v>0</v>
      </c>
    </row>
    <row r="4247" spans="1:10" ht="40.200000000000003" hidden="1" thickBot="1" x14ac:dyDescent="0.35">
      <c r="A4247" s="227"/>
      <c r="B4247" s="224"/>
      <c r="C4247" s="36" t="s">
        <v>1367</v>
      </c>
      <c r="D4247" s="47" t="s">
        <v>781</v>
      </c>
      <c r="E4247" s="37">
        <v>4.1500000000000004</v>
      </c>
      <c r="F4247" s="54">
        <v>1.7934999999999999</v>
      </c>
      <c r="G4247" s="54">
        <f t="shared" si="72"/>
        <v>7.4430250000000004</v>
      </c>
      <c r="H4247" s="73"/>
      <c r="I4247" s="74"/>
      <c r="J4247" s="155">
        <v>0</v>
      </c>
    </row>
    <row r="4248" spans="1:10" ht="15" hidden="1" thickBot="1" x14ac:dyDescent="0.35">
      <c r="A4248" s="227"/>
      <c r="B4248" s="224"/>
      <c r="C4248" s="36" t="s">
        <v>745</v>
      </c>
      <c r="D4248" s="36" t="s">
        <v>744</v>
      </c>
      <c r="E4248" s="37">
        <v>9.7000000000000003E-2</v>
      </c>
      <c r="F4248" s="54">
        <v>14.968499999999999</v>
      </c>
      <c r="G4248" s="54">
        <f t="shared" si="72"/>
        <v>1.4519445</v>
      </c>
      <c r="H4248" s="73"/>
      <c r="I4248" s="74"/>
      <c r="J4248" s="155">
        <v>0</v>
      </c>
    </row>
    <row r="4249" spans="1:10" ht="15" hidden="1" thickBot="1" x14ac:dyDescent="0.35">
      <c r="A4249" s="227"/>
      <c r="B4249" s="224"/>
      <c r="C4249" s="36" t="s">
        <v>1368</v>
      </c>
      <c r="D4249" s="36" t="s">
        <v>744</v>
      </c>
      <c r="E4249" s="37">
        <v>9.0999999999999998E-2</v>
      </c>
      <c r="F4249" s="54">
        <v>21.496499999999997</v>
      </c>
      <c r="G4249" s="54">
        <f t="shared" si="72"/>
        <v>1.9561814999999998</v>
      </c>
      <c r="H4249" s="73"/>
      <c r="I4249" s="74"/>
      <c r="J4249" s="155">
        <v>0</v>
      </c>
    </row>
    <row r="4250" spans="1:10" ht="27" hidden="1" thickBot="1" x14ac:dyDescent="0.35">
      <c r="A4250" s="227"/>
      <c r="B4250" s="224"/>
      <c r="C4250" s="36" t="s">
        <v>1369</v>
      </c>
      <c r="D4250" s="36" t="s">
        <v>983</v>
      </c>
      <c r="E4250" s="37">
        <v>8.9999999999999998E-4</v>
      </c>
      <c r="F4250" s="54">
        <v>16.8385</v>
      </c>
      <c r="G4250" s="54">
        <f t="shared" si="72"/>
        <v>1.5154649999999999E-2</v>
      </c>
      <c r="H4250" s="73"/>
      <c r="I4250" s="74"/>
      <c r="J4250" s="155">
        <v>0</v>
      </c>
    </row>
    <row r="4251" spans="1:10" ht="27" hidden="1" thickBot="1" x14ac:dyDescent="0.35">
      <c r="A4251" s="227"/>
      <c r="B4251" s="224"/>
      <c r="C4251" s="36" t="s">
        <v>1370</v>
      </c>
      <c r="D4251" s="36" t="s">
        <v>985</v>
      </c>
      <c r="E4251" s="37">
        <v>1.2999999999999999E-3</v>
      </c>
      <c r="F4251" s="54">
        <v>16.149999999999999</v>
      </c>
      <c r="G4251" s="54">
        <f t="shared" si="72"/>
        <v>2.0994999999999996E-2</v>
      </c>
      <c r="H4251" s="73"/>
      <c r="I4251" s="74"/>
      <c r="J4251" s="155">
        <v>0</v>
      </c>
    </row>
    <row r="4252" spans="1:10" ht="15" hidden="1" thickBot="1" x14ac:dyDescent="0.35">
      <c r="A4252" s="228"/>
      <c r="B4252" s="225"/>
      <c r="C4252" s="55"/>
      <c r="D4252" s="55"/>
      <c r="E4252" s="66"/>
      <c r="F4252" s="76" t="s">
        <v>560</v>
      </c>
      <c r="G4252" s="76" t="str">
        <f t="shared" si="72"/>
        <v/>
      </c>
      <c r="H4252" s="77"/>
      <c r="I4252" s="74"/>
      <c r="J4252" s="155">
        <v>0</v>
      </c>
    </row>
    <row r="4253" spans="1:10" ht="15" hidden="1" thickBot="1" x14ac:dyDescent="0.35">
      <c r="A4253" s="226" t="s">
        <v>1374</v>
      </c>
      <c r="B4253" s="223" t="e">
        <f>INDEX(#REF!,MATCH(Composições!A4253,#REF!,0),2)</f>
        <v>#REF!</v>
      </c>
      <c r="C4253" s="41"/>
      <c r="D4253" s="26" t="e">
        <f>TRIM(INDEX(#REF!,MATCH(Composições!A4253,#REF!,0),1))</f>
        <v>#REF!</v>
      </c>
      <c r="E4253" s="27"/>
      <c r="F4253" s="49" t="s">
        <v>560</v>
      </c>
      <c r="G4253" s="28" t="str">
        <f t="shared" si="72"/>
        <v/>
      </c>
      <c r="H4253" s="29"/>
      <c r="I4253" s="30"/>
      <c r="J4253" s="155">
        <v>0</v>
      </c>
    </row>
    <row r="4254" spans="1:10" ht="15" hidden="1" thickBot="1" x14ac:dyDescent="0.35">
      <c r="A4254" s="227"/>
      <c r="B4254" s="224"/>
      <c r="C4254" s="32"/>
      <c r="D4254" s="32"/>
      <c r="E4254" s="33"/>
      <c r="F4254" s="54" t="s">
        <v>560</v>
      </c>
      <c r="G4254" s="54" t="str">
        <f t="shared" si="72"/>
        <v/>
      </c>
      <c r="H4254" s="73"/>
      <c r="I4254" s="74"/>
      <c r="J4254" s="155">
        <v>0</v>
      </c>
    </row>
    <row r="4255" spans="1:10" ht="40.200000000000003" hidden="1" thickBot="1" x14ac:dyDescent="0.35">
      <c r="A4255" s="227"/>
      <c r="B4255" s="224"/>
      <c r="C4255" s="36" t="s">
        <v>1367</v>
      </c>
      <c r="D4255" s="47" t="s">
        <v>781</v>
      </c>
      <c r="E4255" s="37">
        <v>4.1500000000000004</v>
      </c>
      <c r="F4255" s="54">
        <v>1.7934999999999999</v>
      </c>
      <c r="G4255" s="54">
        <f t="shared" si="72"/>
        <v>7.4430250000000004</v>
      </c>
      <c r="H4255" s="39">
        <f>SUM(G4255:G4260)</f>
        <v>9.8978148000000008</v>
      </c>
      <c r="I4255" s="40"/>
      <c r="J4255" s="155">
        <v>0</v>
      </c>
    </row>
    <row r="4256" spans="1:10" ht="15" hidden="1" thickBot="1" x14ac:dyDescent="0.35">
      <c r="A4256" s="227"/>
      <c r="B4256" s="224"/>
      <c r="C4256" s="36" t="s">
        <v>1940</v>
      </c>
      <c r="D4256" s="36" t="s">
        <v>93</v>
      </c>
      <c r="E4256" s="37">
        <v>1.0289999999999999</v>
      </c>
      <c r="F4256" s="54" t="s">
        <v>560</v>
      </c>
      <c r="G4256" s="54" t="str">
        <f t="shared" si="72"/>
        <v/>
      </c>
      <c r="H4256" s="73"/>
      <c r="I4256" s="74"/>
      <c r="J4256" s="155">
        <v>0</v>
      </c>
    </row>
    <row r="4257" spans="1:10" ht="15" hidden="1" thickBot="1" x14ac:dyDescent="0.35">
      <c r="A4257" s="227"/>
      <c r="B4257" s="224"/>
      <c r="C4257" s="36" t="s">
        <v>745</v>
      </c>
      <c r="D4257" s="36" t="s">
        <v>744</v>
      </c>
      <c r="E4257" s="37">
        <v>7.2999999999999995E-2</v>
      </c>
      <c r="F4257" s="54">
        <v>14.968499999999999</v>
      </c>
      <c r="G4257" s="54">
        <f t="shared" si="72"/>
        <v>1.0927004999999999</v>
      </c>
      <c r="H4257" s="73"/>
      <c r="I4257" s="74"/>
      <c r="J4257" s="155">
        <v>0</v>
      </c>
    </row>
    <row r="4258" spans="1:10" ht="15" hidden="1" thickBot="1" x14ac:dyDescent="0.35">
      <c r="A4258" s="227"/>
      <c r="B4258" s="224"/>
      <c r="C4258" s="36" t="s">
        <v>1368</v>
      </c>
      <c r="D4258" s="36" t="s">
        <v>744</v>
      </c>
      <c r="E4258" s="37">
        <v>0.06</v>
      </c>
      <c r="F4258" s="54">
        <v>21.496499999999997</v>
      </c>
      <c r="G4258" s="54">
        <f t="shared" si="72"/>
        <v>1.2897899999999998</v>
      </c>
      <c r="H4258" s="73"/>
      <c r="I4258" s="74"/>
      <c r="J4258" s="155">
        <v>0</v>
      </c>
    </row>
    <row r="4259" spans="1:10" ht="27" hidden="1" thickBot="1" x14ac:dyDescent="0.35">
      <c r="A4259" s="227"/>
      <c r="B4259" s="224"/>
      <c r="C4259" s="36" t="s">
        <v>1369</v>
      </c>
      <c r="D4259" s="36" t="s">
        <v>983</v>
      </c>
      <c r="E4259" s="37">
        <v>1.8E-3</v>
      </c>
      <c r="F4259" s="54">
        <v>16.8385</v>
      </c>
      <c r="G4259" s="54">
        <f t="shared" si="72"/>
        <v>3.0309299999999997E-2</v>
      </c>
      <c r="H4259" s="73"/>
      <c r="I4259" s="74"/>
      <c r="J4259" s="155">
        <v>0</v>
      </c>
    </row>
    <row r="4260" spans="1:10" ht="27" hidden="1" thickBot="1" x14ac:dyDescent="0.35">
      <c r="A4260" s="227"/>
      <c r="B4260" s="224"/>
      <c r="C4260" s="36" t="s">
        <v>1370</v>
      </c>
      <c r="D4260" s="36" t="s">
        <v>985</v>
      </c>
      <c r="E4260" s="37">
        <v>2.5999999999999999E-3</v>
      </c>
      <c r="F4260" s="54">
        <v>16.149999999999999</v>
      </c>
      <c r="G4260" s="54">
        <f t="shared" si="72"/>
        <v>4.1989999999999993E-2</v>
      </c>
      <c r="H4260" s="73"/>
      <c r="I4260" s="74"/>
      <c r="J4260" s="155">
        <v>0</v>
      </c>
    </row>
    <row r="4261" spans="1:10" ht="15" hidden="1" thickBot="1" x14ac:dyDescent="0.35">
      <c r="A4261" s="228"/>
      <c r="B4261" s="225"/>
      <c r="C4261" s="55"/>
      <c r="D4261" s="55"/>
      <c r="E4261" s="66"/>
      <c r="F4261" s="76" t="s">
        <v>560</v>
      </c>
      <c r="G4261" s="76" t="str">
        <f t="shared" si="72"/>
        <v/>
      </c>
      <c r="H4261" s="77"/>
      <c r="I4261" s="74"/>
      <c r="J4261" s="155">
        <v>0</v>
      </c>
    </row>
    <row r="4262" spans="1:10" ht="15" hidden="1" thickBot="1" x14ac:dyDescent="0.35">
      <c r="A4262" s="226" t="s">
        <v>1375</v>
      </c>
      <c r="B4262" s="223" t="e">
        <f>INDEX(#REF!,MATCH(Composições!A4262,#REF!,0),2)</f>
        <v>#REF!</v>
      </c>
      <c r="C4262" s="41"/>
      <c r="D4262" s="26" t="e">
        <f>TRIM(INDEX(#REF!,MATCH(Composições!A4262,#REF!,0),1))</f>
        <v>#REF!</v>
      </c>
      <c r="E4262" s="27"/>
      <c r="F4262" s="49" t="s">
        <v>560</v>
      </c>
      <c r="G4262" s="28" t="str">
        <f t="shared" si="72"/>
        <v/>
      </c>
      <c r="H4262" s="29"/>
      <c r="I4262" s="30"/>
      <c r="J4262" s="155">
        <v>0</v>
      </c>
    </row>
    <row r="4263" spans="1:10" ht="15" hidden="1" thickBot="1" x14ac:dyDescent="0.35">
      <c r="A4263" s="227"/>
      <c r="B4263" s="224"/>
      <c r="C4263" s="32"/>
      <c r="D4263" s="32"/>
      <c r="E4263" s="33"/>
      <c r="F4263" s="54" t="s">
        <v>560</v>
      </c>
      <c r="G4263" s="54" t="str">
        <f t="shared" si="72"/>
        <v/>
      </c>
      <c r="H4263" s="73"/>
      <c r="I4263" s="74"/>
      <c r="J4263" s="155">
        <v>0</v>
      </c>
    </row>
    <row r="4264" spans="1:10" ht="15" hidden="1" thickBot="1" x14ac:dyDescent="0.35">
      <c r="A4264" s="227"/>
      <c r="B4264" s="224"/>
      <c r="C4264" s="36" t="s">
        <v>1368</v>
      </c>
      <c r="D4264" s="36" t="s">
        <v>12</v>
      </c>
      <c r="E4264" s="37">
        <v>0.3</v>
      </c>
      <c r="F4264" s="54">
        <v>21.496499999999997</v>
      </c>
      <c r="G4264" s="54">
        <f t="shared" si="72"/>
        <v>6.4489499999999991</v>
      </c>
      <c r="H4264" s="39">
        <f>SUM(G4264:G4270)</f>
        <v>15.430049999999998</v>
      </c>
      <c r="I4264" s="40"/>
      <c r="J4264" s="155">
        <v>0</v>
      </c>
    </row>
    <row r="4265" spans="1:10" ht="15" hidden="1" thickBot="1" x14ac:dyDescent="0.35">
      <c r="A4265" s="227"/>
      <c r="B4265" s="224"/>
      <c r="C4265" s="36" t="s">
        <v>745</v>
      </c>
      <c r="D4265" s="36" t="s">
        <v>12</v>
      </c>
      <c r="E4265" s="37">
        <v>0.6</v>
      </c>
      <c r="F4265" s="54">
        <v>14.968499999999999</v>
      </c>
      <c r="G4265" s="54">
        <f t="shared" si="72"/>
        <v>8.9810999999999996</v>
      </c>
      <c r="H4265" s="73"/>
      <c r="I4265" s="74"/>
      <c r="J4265" s="155">
        <v>0</v>
      </c>
    </row>
    <row r="4266" spans="1:10" ht="15" hidden="1" thickBot="1" x14ac:dyDescent="0.35">
      <c r="A4266" s="227"/>
      <c r="B4266" s="224"/>
      <c r="C4266" s="36" t="s">
        <v>1376</v>
      </c>
      <c r="D4266" s="36" t="s">
        <v>292</v>
      </c>
      <c r="E4266" s="37">
        <v>1.1100000000000001</v>
      </c>
      <c r="F4266" s="54">
        <v>0</v>
      </c>
      <c r="G4266" s="54">
        <f t="shared" si="72"/>
        <v>0</v>
      </c>
      <c r="H4266" s="73"/>
      <c r="I4266" s="74"/>
      <c r="J4266" s="155">
        <v>0</v>
      </c>
    </row>
    <row r="4267" spans="1:10" ht="15" hidden="1" thickBot="1" x14ac:dyDescent="0.35">
      <c r="A4267" s="227"/>
      <c r="B4267" s="224"/>
      <c r="C4267" s="36" t="s">
        <v>1377</v>
      </c>
      <c r="D4267" s="36" t="s">
        <v>95</v>
      </c>
      <c r="E4267" s="37">
        <v>1.24</v>
      </c>
      <c r="F4267" s="54">
        <v>0</v>
      </c>
      <c r="G4267" s="54">
        <f t="shared" si="72"/>
        <v>0</v>
      </c>
      <c r="H4267" s="73"/>
      <c r="I4267" s="74"/>
      <c r="J4267" s="155">
        <v>0</v>
      </c>
    </row>
    <row r="4268" spans="1:10" ht="15" hidden="1" thickBot="1" x14ac:dyDescent="0.35">
      <c r="A4268" s="227"/>
      <c r="B4268" s="224"/>
      <c r="C4268" s="36" t="s">
        <v>1378</v>
      </c>
      <c r="D4268" s="36" t="s">
        <v>292</v>
      </c>
      <c r="E4268" s="37">
        <v>1.1100000000000001</v>
      </c>
      <c r="F4268" s="54">
        <v>0</v>
      </c>
      <c r="G4268" s="54">
        <f t="shared" si="72"/>
        <v>0</v>
      </c>
      <c r="H4268" s="73"/>
      <c r="I4268" s="74"/>
      <c r="J4268" s="155">
        <v>0</v>
      </c>
    </row>
    <row r="4269" spans="1:10" ht="15" hidden="1" thickBot="1" x14ac:dyDescent="0.35">
      <c r="A4269" s="227"/>
      <c r="B4269" s="224"/>
      <c r="C4269" s="36" t="s">
        <v>1379</v>
      </c>
      <c r="D4269" s="36" t="s">
        <v>292</v>
      </c>
      <c r="E4269" s="37">
        <v>1</v>
      </c>
      <c r="F4269" s="54">
        <v>0</v>
      </c>
      <c r="G4269" s="54">
        <f t="shared" si="72"/>
        <v>0</v>
      </c>
      <c r="H4269" s="73"/>
      <c r="I4269" s="74"/>
      <c r="J4269" s="155">
        <v>0</v>
      </c>
    </row>
    <row r="4270" spans="1:10" ht="15" hidden="1" thickBot="1" x14ac:dyDescent="0.35">
      <c r="A4270" s="227"/>
      <c r="B4270" s="224"/>
      <c r="C4270" s="36" t="s">
        <v>1380</v>
      </c>
      <c r="D4270" s="36" t="s">
        <v>292</v>
      </c>
      <c r="E4270" s="37">
        <v>1.1100000000000001</v>
      </c>
      <c r="F4270" s="54">
        <v>0</v>
      </c>
      <c r="G4270" s="54">
        <f t="shared" si="72"/>
        <v>0</v>
      </c>
      <c r="H4270" s="73"/>
      <c r="I4270" s="74"/>
      <c r="J4270" s="155">
        <v>0</v>
      </c>
    </row>
    <row r="4271" spans="1:10" ht="15" hidden="1" thickBot="1" x14ac:dyDescent="0.35">
      <c r="A4271" s="228"/>
      <c r="B4271" s="225"/>
      <c r="C4271" s="55"/>
      <c r="D4271" s="55"/>
      <c r="E4271" s="66"/>
      <c r="F4271" s="76" t="s">
        <v>560</v>
      </c>
      <c r="G4271" s="76" t="str">
        <f t="shared" si="72"/>
        <v/>
      </c>
      <c r="H4271" s="77"/>
      <c r="I4271" s="74"/>
      <c r="J4271" s="155">
        <v>0</v>
      </c>
    </row>
    <row r="4272" spans="1:10" ht="15" hidden="1" thickBot="1" x14ac:dyDescent="0.35">
      <c r="A4272" s="226" t="s">
        <v>1381</v>
      </c>
      <c r="B4272" s="223" t="e">
        <f>INDEX(#REF!,MATCH(Composições!A4272,#REF!,0),2)</f>
        <v>#REF!</v>
      </c>
      <c r="C4272" s="41"/>
      <c r="D4272" s="26" t="e">
        <f>TRIM(INDEX(#REF!,MATCH(Composições!A4272,#REF!,0),1))</f>
        <v>#REF!</v>
      </c>
      <c r="E4272" s="27"/>
      <c r="F4272" s="49" t="s">
        <v>560</v>
      </c>
      <c r="G4272" s="28" t="str">
        <f t="shared" si="72"/>
        <v/>
      </c>
      <c r="H4272" s="29"/>
      <c r="I4272" s="30"/>
      <c r="J4272" s="155">
        <v>0</v>
      </c>
    </row>
    <row r="4273" spans="1:10" ht="15" hidden="1" thickBot="1" x14ac:dyDescent="0.35">
      <c r="A4273" s="227"/>
      <c r="B4273" s="224"/>
      <c r="C4273" s="32"/>
      <c r="D4273" s="32"/>
      <c r="E4273" s="33"/>
      <c r="F4273" s="54" t="s">
        <v>560</v>
      </c>
      <c r="G4273" s="54" t="str">
        <f t="shared" si="72"/>
        <v/>
      </c>
      <c r="H4273" s="73"/>
      <c r="I4273" s="74"/>
      <c r="J4273" s="155">
        <v>0</v>
      </c>
    </row>
    <row r="4274" spans="1:10" ht="15" hidden="1" thickBot="1" x14ac:dyDescent="0.35">
      <c r="A4274" s="227"/>
      <c r="B4274" s="224"/>
      <c r="C4274" s="36" t="s">
        <v>1368</v>
      </c>
      <c r="D4274" s="36" t="s">
        <v>12</v>
      </c>
      <c r="E4274" s="37">
        <f>0.12/2</f>
        <v>0.06</v>
      </c>
      <c r="F4274" s="54">
        <v>21.496499999999997</v>
      </c>
      <c r="G4274" s="54">
        <f t="shared" si="72"/>
        <v>1.2897899999999998</v>
      </c>
      <c r="H4274" s="39">
        <f>SUM(G4274:G4278)</f>
        <v>2.1878999999999995</v>
      </c>
      <c r="I4274" s="40"/>
      <c r="J4274" s="155">
        <v>0</v>
      </c>
    </row>
    <row r="4275" spans="1:10" ht="15" hidden="1" thickBot="1" x14ac:dyDescent="0.35">
      <c r="A4275" s="227"/>
      <c r="B4275" s="224"/>
      <c r="C4275" s="36" t="s">
        <v>745</v>
      </c>
      <c r="D4275" s="36" t="s">
        <v>12</v>
      </c>
      <c r="E4275" s="37">
        <f>0.12/2</f>
        <v>0.06</v>
      </c>
      <c r="F4275" s="54">
        <v>14.968499999999999</v>
      </c>
      <c r="G4275" s="54">
        <f t="shared" si="72"/>
        <v>0.89810999999999985</v>
      </c>
      <c r="H4275" s="73"/>
      <c r="I4275" s="74"/>
      <c r="J4275" s="155">
        <v>0</v>
      </c>
    </row>
    <row r="4276" spans="1:10" ht="15" hidden="1" thickBot="1" x14ac:dyDescent="0.35">
      <c r="A4276" s="227"/>
      <c r="B4276" s="224"/>
      <c r="C4276" s="36" t="s">
        <v>1376</v>
      </c>
      <c r="D4276" s="36" t="s">
        <v>292</v>
      </c>
      <c r="E4276" s="37">
        <f>4.12/2</f>
        <v>2.06</v>
      </c>
      <c r="F4276" s="54">
        <v>0</v>
      </c>
      <c r="G4276" s="54">
        <f t="shared" si="72"/>
        <v>0</v>
      </c>
      <c r="H4276" s="73"/>
      <c r="I4276" s="74"/>
      <c r="J4276" s="155">
        <v>0</v>
      </c>
    </row>
    <row r="4277" spans="1:10" ht="15" hidden="1" thickBot="1" x14ac:dyDescent="0.35">
      <c r="A4277" s="227"/>
      <c r="B4277" s="224"/>
      <c r="C4277" s="36" t="s">
        <v>1382</v>
      </c>
      <c r="D4277" s="36" t="s">
        <v>292</v>
      </c>
      <c r="E4277" s="37">
        <v>2.06</v>
      </c>
      <c r="F4277" s="54">
        <v>0</v>
      </c>
      <c r="G4277" s="54">
        <f t="shared" si="72"/>
        <v>0</v>
      </c>
      <c r="H4277" s="73"/>
      <c r="I4277" s="74"/>
      <c r="J4277" s="155">
        <v>0</v>
      </c>
    </row>
    <row r="4278" spans="1:10" ht="15" hidden="1" thickBot="1" x14ac:dyDescent="0.35">
      <c r="A4278" s="227"/>
      <c r="B4278" s="224"/>
      <c r="C4278" s="36" t="s">
        <v>1380</v>
      </c>
      <c r="D4278" s="36" t="s">
        <v>292</v>
      </c>
      <c r="E4278" s="37">
        <f>4.12/2</f>
        <v>2.06</v>
      </c>
      <c r="F4278" s="54">
        <v>0</v>
      </c>
      <c r="G4278" s="54">
        <f t="shared" si="72"/>
        <v>0</v>
      </c>
      <c r="H4278" s="73"/>
      <c r="I4278" s="74"/>
      <c r="J4278" s="155">
        <v>0</v>
      </c>
    </row>
    <row r="4279" spans="1:10" ht="15" hidden="1" thickBot="1" x14ac:dyDescent="0.35">
      <c r="A4279" s="228"/>
      <c r="B4279" s="225"/>
      <c r="C4279" s="55"/>
      <c r="D4279" s="55"/>
      <c r="E4279" s="66"/>
      <c r="F4279" s="76" t="s">
        <v>560</v>
      </c>
      <c r="G4279" s="76" t="str">
        <f t="shared" si="72"/>
        <v/>
      </c>
      <c r="H4279" s="77"/>
      <c r="I4279" s="74"/>
      <c r="J4279" s="155">
        <v>0</v>
      </c>
    </row>
    <row r="4280" spans="1:10" ht="15" hidden="1" thickBot="1" x14ac:dyDescent="0.35">
      <c r="A4280" s="226" t="s">
        <v>1383</v>
      </c>
      <c r="B4280" s="223" t="e">
        <f>INDEX(#REF!,MATCH(Composições!A4280,#REF!,0),2)</f>
        <v>#REF!</v>
      </c>
      <c r="C4280" s="41"/>
      <c r="D4280" s="26" t="e">
        <f>TRIM(INDEX(#REF!,MATCH(Composições!A4280,#REF!,0),1))</f>
        <v>#REF!</v>
      </c>
      <c r="E4280" s="27"/>
      <c r="F4280" s="49" t="s">
        <v>560</v>
      </c>
      <c r="G4280" s="28" t="str">
        <f t="shared" si="72"/>
        <v/>
      </c>
      <c r="H4280" s="29"/>
      <c r="I4280" s="30"/>
      <c r="J4280" s="155">
        <v>0</v>
      </c>
    </row>
    <row r="4281" spans="1:10" ht="15" hidden="1" thickBot="1" x14ac:dyDescent="0.35">
      <c r="A4281" s="227"/>
      <c r="B4281" s="224"/>
      <c r="C4281" s="32"/>
      <c r="D4281" s="32"/>
      <c r="E4281" s="33"/>
      <c r="F4281" s="54" t="s">
        <v>560</v>
      </c>
      <c r="G4281" s="54" t="str">
        <f t="shared" si="72"/>
        <v/>
      </c>
      <c r="H4281" s="73"/>
      <c r="I4281" s="74"/>
      <c r="J4281" s="155">
        <v>0</v>
      </c>
    </row>
    <row r="4282" spans="1:10" ht="15" hidden="1" thickBot="1" x14ac:dyDescent="0.35">
      <c r="A4282" s="227"/>
      <c r="B4282" s="224"/>
      <c r="C4282" s="36" t="s">
        <v>1368</v>
      </c>
      <c r="D4282" s="36" t="s">
        <v>12</v>
      </c>
      <c r="E4282" s="37">
        <f>0.12/2</f>
        <v>0.06</v>
      </c>
      <c r="F4282" s="54">
        <v>21.496499999999997</v>
      </c>
      <c r="G4282" s="54">
        <f t="shared" si="72"/>
        <v>1.2897899999999998</v>
      </c>
      <c r="H4282" s="39">
        <f>SUM(G4282:G4286)</f>
        <v>2.1878999999999995</v>
      </c>
      <c r="I4282" s="40"/>
      <c r="J4282" s="155">
        <v>0</v>
      </c>
    </row>
    <row r="4283" spans="1:10" ht="15" hidden="1" thickBot="1" x14ac:dyDescent="0.35">
      <c r="A4283" s="227"/>
      <c r="B4283" s="224"/>
      <c r="C4283" s="36" t="s">
        <v>745</v>
      </c>
      <c r="D4283" s="36" t="s">
        <v>12</v>
      </c>
      <c r="E4283" s="37">
        <f>0.12/2</f>
        <v>0.06</v>
      </c>
      <c r="F4283" s="54">
        <v>14.968499999999999</v>
      </c>
      <c r="G4283" s="54">
        <f t="shared" si="72"/>
        <v>0.89810999999999985</v>
      </c>
      <c r="H4283" s="73"/>
      <c r="I4283" s="74"/>
      <c r="J4283" s="155">
        <v>0</v>
      </c>
    </row>
    <row r="4284" spans="1:10" ht="15" hidden="1" thickBot="1" x14ac:dyDescent="0.35">
      <c r="A4284" s="227"/>
      <c r="B4284" s="224"/>
      <c r="C4284" s="36" t="s">
        <v>1376</v>
      </c>
      <c r="D4284" s="36" t="s">
        <v>292</v>
      </c>
      <c r="E4284" s="37">
        <f>4.12/2</f>
        <v>2.06</v>
      </c>
      <c r="F4284" s="54">
        <v>0</v>
      </c>
      <c r="G4284" s="54">
        <f t="shared" si="72"/>
        <v>0</v>
      </c>
      <c r="H4284" s="73"/>
      <c r="I4284" s="74"/>
      <c r="J4284" s="155">
        <v>0</v>
      </c>
    </row>
    <row r="4285" spans="1:10" ht="27" hidden="1" thickBot="1" x14ac:dyDescent="0.35">
      <c r="A4285" s="227"/>
      <c r="B4285" s="224"/>
      <c r="C4285" s="36" t="s">
        <v>1384</v>
      </c>
      <c r="D4285" s="36" t="s">
        <v>292</v>
      </c>
      <c r="E4285" s="37">
        <v>2.06</v>
      </c>
      <c r="F4285" s="54">
        <v>0</v>
      </c>
      <c r="G4285" s="54">
        <f t="shared" si="72"/>
        <v>0</v>
      </c>
      <c r="H4285" s="73"/>
      <c r="I4285" s="74"/>
      <c r="J4285" s="155">
        <v>0</v>
      </c>
    </row>
    <row r="4286" spans="1:10" ht="15" hidden="1" thickBot="1" x14ac:dyDescent="0.35">
      <c r="A4286" s="227"/>
      <c r="B4286" s="224"/>
      <c r="C4286" s="36" t="s">
        <v>1380</v>
      </c>
      <c r="D4286" s="36" t="s">
        <v>292</v>
      </c>
      <c r="E4286" s="37">
        <f>4.12/2</f>
        <v>2.06</v>
      </c>
      <c r="F4286" s="54">
        <v>0</v>
      </c>
      <c r="G4286" s="54">
        <f t="shared" si="72"/>
        <v>0</v>
      </c>
      <c r="H4286" s="73"/>
      <c r="I4286" s="74"/>
      <c r="J4286" s="155">
        <v>0</v>
      </c>
    </row>
    <row r="4287" spans="1:10" ht="15" hidden="1" thickBot="1" x14ac:dyDescent="0.35">
      <c r="A4287" s="228"/>
      <c r="B4287" s="225"/>
      <c r="C4287" s="55"/>
      <c r="D4287" s="55"/>
      <c r="E4287" s="66"/>
      <c r="F4287" s="76" t="s">
        <v>560</v>
      </c>
      <c r="G4287" s="76" t="str">
        <f t="shared" si="72"/>
        <v/>
      </c>
      <c r="H4287" s="77"/>
      <c r="I4287" s="74"/>
      <c r="J4287" s="155">
        <v>0</v>
      </c>
    </row>
    <row r="4288" spans="1:10" ht="15" hidden="1" thickBot="1" x14ac:dyDescent="0.35">
      <c r="A4288" s="226" t="s">
        <v>1385</v>
      </c>
      <c r="B4288" s="223" t="e">
        <f>INDEX(#REF!,MATCH(Composições!A4288,#REF!,0),2)</f>
        <v>#REF!</v>
      </c>
      <c r="C4288" s="41"/>
      <c r="D4288" s="26" t="e">
        <f>TRIM(INDEX(#REF!,MATCH(Composições!A4288,#REF!,0),1))</f>
        <v>#REF!</v>
      </c>
      <c r="E4288" s="27"/>
      <c r="F4288" s="49" t="s">
        <v>560</v>
      </c>
      <c r="G4288" s="28" t="str">
        <f t="shared" si="72"/>
        <v/>
      </c>
      <c r="H4288" s="29"/>
      <c r="I4288" s="30"/>
      <c r="J4288" s="155">
        <v>0</v>
      </c>
    </row>
    <row r="4289" spans="1:10" ht="15" hidden="1" thickBot="1" x14ac:dyDescent="0.35">
      <c r="A4289" s="227"/>
      <c r="B4289" s="224"/>
      <c r="C4289" s="32"/>
      <c r="D4289" s="32"/>
      <c r="E4289" s="33"/>
      <c r="F4289" s="54" t="s">
        <v>560</v>
      </c>
      <c r="G4289" s="54" t="str">
        <f t="shared" si="72"/>
        <v/>
      </c>
      <c r="H4289" s="73"/>
      <c r="I4289" s="74"/>
      <c r="J4289" s="155">
        <v>0</v>
      </c>
    </row>
    <row r="4290" spans="1:10" ht="27" hidden="1" thickBot="1" x14ac:dyDescent="0.35">
      <c r="A4290" s="227"/>
      <c r="B4290" s="224"/>
      <c r="C4290" s="36" t="s">
        <v>1386</v>
      </c>
      <c r="D4290" s="47" t="s">
        <v>781</v>
      </c>
      <c r="E4290" s="37">
        <v>1.27</v>
      </c>
      <c r="F4290" s="54">
        <v>0.23800000000000002</v>
      </c>
      <c r="G4290" s="54">
        <f t="shared" si="72"/>
        <v>0.30226000000000003</v>
      </c>
      <c r="H4290" s="39">
        <f>SUM(G4290:G4296)</f>
        <v>38.305632499999994</v>
      </c>
      <c r="I4290" s="40"/>
      <c r="J4290" s="155">
        <v>0</v>
      </c>
    </row>
    <row r="4291" spans="1:10" ht="27" hidden="1" thickBot="1" x14ac:dyDescent="0.35">
      <c r="A4291" s="227"/>
      <c r="B4291" s="224"/>
      <c r="C4291" s="36" t="s">
        <v>1387</v>
      </c>
      <c r="D4291" s="36" t="s">
        <v>292</v>
      </c>
      <c r="E4291" s="37">
        <v>1.27</v>
      </c>
      <c r="F4291" s="54">
        <v>3.6379999999999999</v>
      </c>
      <c r="G4291" s="54">
        <f t="shared" si="72"/>
        <v>4.62026</v>
      </c>
      <c r="H4291" s="73"/>
      <c r="I4291" s="74"/>
      <c r="J4291" s="155">
        <v>0</v>
      </c>
    </row>
    <row r="4292" spans="1:10" ht="27" hidden="1" thickBot="1" x14ac:dyDescent="0.35">
      <c r="A4292" s="227"/>
      <c r="B4292" s="224"/>
      <c r="C4292" s="36" t="s">
        <v>1388</v>
      </c>
      <c r="D4292" s="36" t="s">
        <v>1035</v>
      </c>
      <c r="E4292" s="37">
        <v>1.2749999999999999</v>
      </c>
      <c r="F4292" s="54">
        <v>22.329499999999999</v>
      </c>
      <c r="G4292" s="54">
        <f t="shared" si="72"/>
        <v>28.470112499999999</v>
      </c>
      <c r="H4292" s="73"/>
      <c r="I4292" s="74"/>
      <c r="J4292" s="155">
        <v>0</v>
      </c>
    </row>
    <row r="4293" spans="1:10" ht="15" hidden="1" thickBot="1" x14ac:dyDescent="0.35">
      <c r="A4293" s="227"/>
      <c r="B4293" s="224"/>
      <c r="C4293" s="36" t="s">
        <v>745</v>
      </c>
      <c r="D4293" s="36" t="s">
        <v>744</v>
      </c>
      <c r="E4293" s="37">
        <v>0.15</v>
      </c>
      <c r="F4293" s="54">
        <v>14.968499999999999</v>
      </c>
      <c r="G4293" s="54">
        <f t="shared" si="72"/>
        <v>2.2452749999999999</v>
      </c>
      <c r="H4293" s="73"/>
      <c r="I4293" s="74"/>
      <c r="J4293" s="155">
        <v>0</v>
      </c>
    </row>
    <row r="4294" spans="1:10" ht="15" hidden="1" thickBot="1" x14ac:dyDescent="0.35">
      <c r="A4294" s="227"/>
      <c r="B4294" s="224"/>
      <c r="C4294" s="36" t="s">
        <v>1368</v>
      </c>
      <c r="D4294" s="36" t="s">
        <v>744</v>
      </c>
      <c r="E4294" s="37">
        <v>0.115</v>
      </c>
      <c r="F4294" s="54">
        <v>21.496499999999997</v>
      </c>
      <c r="G4294" s="54">
        <f t="shared" si="72"/>
        <v>2.4720974999999998</v>
      </c>
      <c r="H4294" s="73"/>
      <c r="I4294" s="74"/>
      <c r="J4294" s="155">
        <v>0</v>
      </c>
    </row>
    <row r="4295" spans="1:10" ht="27" hidden="1" thickBot="1" x14ac:dyDescent="0.35">
      <c r="A4295" s="227"/>
      <c r="B4295" s="224"/>
      <c r="C4295" s="36" t="s">
        <v>1369</v>
      </c>
      <c r="D4295" s="36" t="s">
        <v>983</v>
      </c>
      <c r="E4295" s="37">
        <v>5.0000000000000001E-3</v>
      </c>
      <c r="F4295" s="54">
        <v>16.8385</v>
      </c>
      <c r="G4295" s="54">
        <f t="shared" si="72"/>
        <v>8.4192500000000003E-2</v>
      </c>
      <c r="H4295" s="73"/>
      <c r="I4295" s="74"/>
      <c r="J4295" s="155">
        <v>0</v>
      </c>
    </row>
    <row r="4296" spans="1:10" ht="27" hidden="1" thickBot="1" x14ac:dyDescent="0.35">
      <c r="A4296" s="227"/>
      <c r="B4296" s="224"/>
      <c r="C4296" s="36" t="s">
        <v>1370</v>
      </c>
      <c r="D4296" s="36" t="s">
        <v>985</v>
      </c>
      <c r="E4296" s="37">
        <v>6.8999999999999999E-3</v>
      </c>
      <c r="F4296" s="54">
        <v>16.149999999999999</v>
      </c>
      <c r="G4296" s="54">
        <f t="shared" si="72"/>
        <v>0.11143499999999999</v>
      </c>
      <c r="H4296" s="73"/>
      <c r="I4296" s="74"/>
      <c r="J4296" s="155">
        <v>0</v>
      </c>
    </row>
    <row r="4297" spans="1:10" ht="15" hidden="1" thickBot="1" x14ac:dyDescent="0.35">
      <c r="A4297" s="228"/>
      <c r="B4297" s="225"/>
      <c r="C4297" s="55"/>
      <c r="D4297" s="55"/>
      <c r="E4297" s="66"/>
      <c r="F4297" s="76" t="s">
        <v>560</v>
      </c>
      <c r="G4297" s="76" t="str">
        <f t="shared" si="72"/>
        <v/>
      </c>
      <c r="H4297" s="77"/>
      <c r="I4297" s="74"/>
      <c r="J4297" s="155">
        <v>0</v>
      </c>
    </row>
    <row r="4298" spans="1:10" ht="15" hidden="1" thickBot="1" x14ac:dyDescent="0.35">
      <c r="A4298" s="226" t="s">
        <v>1389</v>
      </c>
      <c r="B4298" s="223" t="e">
        <f>INDEX(#REF!,MATCH(Composições!A4298,#REF!,0),2)</f>
        <v>#REF!</v>
      </c>
      <c r="C4298" s="41"/>
      <c r="D4298" s="26" t="e">
        <f>TRIM(INDEX(#REF!,MATCH(Composições!A4298,#REF!,0),1))</f>
        <v>#REF!</v>
      </c>
      <c r="E4298" s="27"/>
      <c r="F4298" s="49" t="s">
        <v>560</v>
      </c>
      <c r="G4298" s="28" t="str">
        <f t="shared" si="72"/>
        <v/>
      </c>
      <c r="H4298" s="29"/>
      <c r="I4298" s="30"/>
      <c r="J4298" s="155">
        <v>0</v>
      </c>
    </row>
    <row r="4299" spans="1:10" ht="15" hidden="1" thickBot="1" x14ac:dyDescent="0.35">
      <c r="A4299" s="227"/>
      <c r="B4299" s="224"/>
      <c r="C4299" s="32"/>
      <c r="D4299" s="32"/>
      <c r="E4299" s="33"/>
      <c r="F4299" s="54" t="s">
        <v>560</v>
      </c>
      <c r="G4299" s="54" t="str">
        <f t="shared" si="72"/>
        <v/>
      </c>
      <c r="H4299" s="73"/>
      <c r="I4299" s="74"/>
      <c r="J4299" s="155">
        <v>0</v>
      </c>
    </row>
    <row r="4300" spans="1:10" ht="27" hidden="1" thickBot="1" x14ac:dyDescent="0.35">
      <c r="A4300" s="227"/>
      <c r="B4300" s="224"/>
      <c r="C4300" s="36" t="s">
        <v>1386</v>
      </c>
      <c r="D4300" s="47" t="s">
        <v>781</v>
      </c>
      <c r="E4300" s="37">
        <v>4.2</v>
      </c>
      <c r="F4300" s="54">
        <v>0.23800000000000002</v>
      </c>
      <c r="G4300" s="54">
        <f t="shared" si="72"/>
        <v>0.99960000000000016</v>
      </c>
      <c r="H4300" s="39">
        <f>SUM(G4300:G4306)</f>
        <v>51.375927799999992</v>
      </c>
      <c r="I4300" s="40"/>
      <c r="J4300" s="155">
        <v>0</v>
      </c>
    </row>
    <row r="4301" spans="1:10" ht="27" hidden="1" thickBot="1" x14ac:dyDescent="0.35">
      <c r="A4301" s="227"/>
      <c r="B4301" s="224"/>
      <c r="C4301" s="36" t="s">
        <v>1387</v>
      </c>
      <c r="D4301" s="36" t="s">
        <v>292</v>
      </c>
      <c r="E4301" s="37">
        <v>4.2</v>
      </c>
      <c r="F4301" s="54">
        <v>3.6379999999999999</v>
      </c>
      <c r="G4301" s="54">
        <f t="shared" si="72"/>
        <v>15.2796</v>
      </c>
      <c r="H4301" s="73"/>
      <c r="I4301" s="74"/>
      <c r="J4301" s="155">
        <v>0</v>
      </c>
    </row>
    <row r="4302" spans="1:10" ht="27" hidden="1" thickBot="1" x14ac:dyDescent="0.35">
      <c r="A4302" s="227"/>
      <c r="B4302" s="224"/>
      <c r="C4302" s="36" t="s">
        <v>1390</v>
      </c>
      <c r="D4302" s="36" t="s">
        <v>292</v>
      </c>
      <c r="E4302" s="37">
        <v>1.0289999999999999</v>
      </c>
      <c r="F4302" s="54">
        <v>31.721999999999998</v>
      </c>
      <c r="G4302" s="54">
        <f t="shared" si="72"/>
        <v>32.641937999999996</v>
      </c>
      <c r="H4302" s="73"/>
      <c r="I4302" s="74"/>
      <c r="J4302" s="155">
        <v>0</v>
      </c>
    </row>
    <row r="4303" spans="1:10" ht="15" hidden="1" thickBot="1" x14ac:dyDescent="0.35">
      <c r="A4303" s="227"/>
      <c r="B4303" s="224"/>
      <c r="C4303" s="36" t="s">
        <v>745</v>
      </c>
      <c r="D4303" s="36" t="s">
        <v>744</v>
      </c>
      <c r="E4303" s="37">
        <v>7.2999999999999995E-2</v>
      </c>
      <c r="F4303" s="54">
        <v>14.968499999999999</v>
      </c>
      <c r="G4303" s="54">
        <f t="shared" si="72"/>
        <v>1.0927004999999999</v>
      </c>
      <c r="H4303" s="73"/>
      <c r="I4303" s="74"/>
      <c r="J4303" s="155">
        <v>0</v>
      </c>
    </row>
    <row r="4304" spans="1:10" ht="15" hidden="1" thickBot="1" x14ac:dyDescent="0.35">
      <c r="A4304" s="227"/>
      <c r="B4304" s="224"/>
      <c r="C4304" s="36" t="s">
        <v>1368</v>
      </c>
      <c r="D4304" s="36" t="s">
        <v>744</v>
      </c>
      <c r="E4304" s="37">
        <v>0.06</v>
      </c>
      <c r="F4304" s="54">
        <v>21.496499999999997</v>
      </c>
      <c r="G4304" s="54">
        <f t="shared" si="72"/>
        <v>1.2897899999999998</v>
      </c>
      <c r="H4304" s="73"/>
      <c r="I4304" s="74"/>
      <c r="J4304" s="155">
        <v>0</v>
      </c>
    </row>
    <row r="4305" spans="1:10" ht="27" hidden="1" thickBot="1" x14ac:dyDescent="0.35">
      <c r="A4305" s="227"/>
      <c r="B4305" s="224"/>
      <c r="C4305" s="36" t="s">
        <v>1369</v>
      </c>
      <c r="D4305" s="36" t="s">
        <v>983</v>
      </c>
      <c r="E4305" s="37">
        <v>1.8E-3</v>
      </c>
      <c r="F4305" s="54">
        <v>16.8385</v>
      </c>
      <c r="G4305" s="54">
        <f t="shared" si="72"/>
        <v>3.0309299999999997E-2</v>
      </c>
      <c r="H4305" s="73"/>
      <c r="I4305" s="74"/>
      <c r="J4305" s="155">
        <v>0</v>
      </c>
    </row>
    <row r="4306" spans="1:10" ht="27" hidden="1" thickBot="1" x14ac:dyDescent="0.35">
      <c r="A4306" s="227"/>
      <c r="B4306" s="224"/>
      <c r="C4306" s="36" t="s">
        <v>1370</v>
      </c>
      <c r="D4306" s="36" t="s">
        <v>985</v>
      </c>
      <c r="E4306" s="37">
        <v>2.5999999999999999E-3</v>
      </c>
      <c r="F4306" s="54">
        <v>16.149999999999999</v>
      </c>
      <c r="G4306" s="54">
        <f t="shared" ref="G4306:G4369" si="73">IF(ISNUMBER(F4306),E4306*F4306,"")</f>
        <v>4.1989999999999993E-2</v>
      </c>
      <c r="H4306" s="73"/>
      <c r="I4306" s="74"/>
      <c r="J4306" s="155">
        <v>0</v>
      </c>
    </row>
    <row r="4307" spans="1:10" ht="15" hidden="1" thickBot="1" x14ac:dyDescent="0.35">
      <c r="A4307" s="228"/>
      <c r="B4307" s="225"/>
      <c r="C4307" s="55"/>
      <c r="D4307" s="55"/>
      <c r="E4307" s="66"/>
      <c r="F4307" s="76" t="s">
        <v>560</v>
      </c>
      <c r="G4307" s="76" t="str">
        <f t="shared" si="73"/>
        <v/>
      </c>
      <c r="H4307" s="77"/>
      <c r="I4307" s="74"/>
      <c r="J4307" s="155">
        <v>0</v>
      </c>
    </row>
    <row r="4308" spans="1:10" ht="15" hidden="1" thickBot="1" x14ac:dyDescent="0.35">
      <c r="A4308" s="226" t="s">
        <v>1391</v>
      </c>
      <c r="B4308" s="223" t="e">
        <f>INDEX(#REF!,MATCH(Composições!A4308,#REF!,0),2)</f>
        <v>#REF!</v>
      </c>
      <c r="C4308" s="41"/>
      <c r="D4308" s="26" t="e">
        <f>TRIM(INDEX(#REF!,MATCH(Composições!A4308,#REF!,0),1))</f>
        <v>#REF!</v>
      </c>
      <c r="E4308" s="27"/>
      <c r="F4308" s="49" t="s">
        <v>560</v>
      </c>
      <c r="G4308" s="28" t="str">
        <f t="shared" si="73"/>
        <v/>
      </c>
      <c r="H4308" s="29"/>
      <c r="I4308" s="30"/>
      <c r="J4308" s="155">
        <v>0</v>
      </c>
    </row>
    <row r="4309" spans="1:10" ht="15" hidden="1" thickBot="1" x14ac:dyDescent="0.35">
      <c r="A4309" s="227"/>
      <c r="B4309" s="224"/>
      <c r="C4309" s="32"/>
      <c r="D4309" s="32"/>
      <c r="E4309" s="33"/>
      <c r="F4309" s="54" t="s">
        <v>560</v>
      </c>
      <c r="G4309" s="54" t="str">
        <f t="shared" si="73"/>
        <v/>
      </c>
      <c r="H4309" s="73"/>
      <c r="I4309" s="74"/>
      <c r="J4309" s="155">
        <v>0</v>
      </c>
    </row>
    <row r="4310" spans="1:10" ht="27" hidden="1" thickBot="1" x14ac:dyDescent="0.35">
      <c r="A4310" s="227"/>
      <c r="B4310" s="224"/>
      <c r="C4310" s="36" t="s">
        <v>1386</v>
      </c>
      <c r="D4310" s="47" t="s">
        <v>781</v>
      </c>
      <c r="E4310" s="37">
        <v>4.2</v>
      </c>
      <c r="F4310" s="54">
        <v>0.23800000000000002</v>
      </c>
      <c r="G4310" s="54">
        <f t="shared" si="73"/>
        <v>0.99960000000000016</v>
      </c>
      <c r="H4310" s="39">
        <f>SUM(G4310:G4316)</f>
        <v>49.596002299999995</v>
      </c>
      <c r="I4310" s="40"/>
      <c r="J4310" s="155">
        <v>0</v>
      </c>
    </row>
    <row r="4311" spans="1:10" ht="27" hidden="1" thickBot="1" x14ac:dyDescent="0.35">
      <c r="A4311" s="227"/>
      <c r="B4311" s="224"/>
      <c r="C4311" s="36" t="s">
        <v>1387</v>
      </c>
      <c r="D4311" s="36" t="s">
        <v>292</v>
      </c>
      <c r="E4311" s="37">
        <v>4.2</v>
      </c>
      <c r="F4311" s="54">
        <v>3.6379999999999999</v>
      </c>
      <c r="G4311" s="54">
        <f t="shared" si="73"/>
        <v>15.2796</v>
      </c>
      <c r="H4311" s="73"/>
      <c r="I4311" s="74"/>
      <c r="J4311" s="155">
        <v>0</v>
      </c>
    </row>
    <row r="4312" spans="1:10" ht="27" hidden="1" thickBot="1" x14ac:dyDescent="0.35">
      <c r="A4312" s="227"/>
      <c r="B4312" s="224"/>
      <c r="C4312" s="36" t="s">
        <v>1392</v>
      </c>
      <c r="D4312" s="36" t="s">
        <v>292</v>
      </c>
      <c r="E4312" s="37">
        <v>1.0289999999999999</v>
      </c>
      <c r="F4312" s="54">
        <v>30.651</v>
      </c>
      <c r="G4312" s="54">
        <f t="shared" si="73"/>
        <v>31.539878999999996</v>
      </c>
      <c r="H4312" s="73"/>
      <c r="I4312" s="74"/>
      <c r="J4312" s="155">
        <v>0</v>
      </c>
    </row>
    <row r="4313" spans="1:10" ht="15" hidden="1" thickBot="1" x14ac:dyDescent="0.35">
      <c r="A4313" s="227"/>
      <c r="B4313" s="224"/>
      <c r="C4313" s="36" t="s">
        <v>745</v>
      </c>
      <c r="D4313" s="36" t="s">
        <v>744</v>
      </c>
      <c r="E4313" s="37">
        <v>5.5E-2</v>
      </c>
      <c r="F4313" s="54">
        <v>14.968499999999999</v>
      </c>
      <c r="G4313" s="54">
        <f t="shared" si="73"/>
        <v>0.82326749999999993</v>
      </c>
      <c r="H4313" s="73"/>
      <c r="I4313" s="74"/>
      <c r="J4313" s="155">
        <v>0</v>
      </c>
    </row>
    <row r="4314" spans="1:10" ht="15" hidden="1" thickBot="1" x14ac:dyDescent="0.35">
      <c r="A4314" s="227"/>
      <c r="B4314" s="224"/>
      <c r="C4314" s="36" t="s">
        <v>1368</v>
      </c>
      <c r="D4314" s="36" t="s">
        <v>744</v>
      </c>
      <c r="E4314" s="37">
        <v>4.1000000000000002E-2</v>
      </c>
      <c r="F4314" s="54">
        <v>21.496499999999997</v>
      </c>
      <c r="G4314" s="54">
        <f t="shared" si="73"/>
        <v>0.88135649999999999</v>
      </c>
      <c r="H4314" s="73"/>
      <c r="I4314" s="74"/>
      <c r="J4314" s="155">
        <v>0</v>
      </c>
    </row>
    <row r="4315" spans="1:10" ht="27" hidden="1" thickBot="1" x14ac:dyDescent="0.35">
      <c r="A4315" s="227"/>
      <c r="B4315" s="224"/>
      <c r="C4315" s="36" t="s">
        <v>1369</v>
      </c>
      <c r="D4315" s="36" t="s">
        <v>983</v>
      </c>
      <c r="E4315" s="37">
        <v>1.8E-3</v>
      </c>
      <c r="F4315" s="54">
        <v>16.8385</v>
      </c>
      <c r="G4315" s="54">
        <f t="shared" si="73"/>
        <v>3.0309299999999997E-2</v>
      </c>
      <c r="H4315" s="73"/>
      <c r="I4315" s="74"/>
      <c r="J4315" s="155">
        <v>0</v>
      </c>
    </row>
    <row r="4316" spans="1:10" ht="27" hidden="1" thickBot="1" x14ac:dyDescent="0.35">
      <c r="A4316" s="227"/>
      <c r="B4316" s="224"/>
      <c r="C4316" s="36" t="s">
        <v>1370</v>
      </c>
      <c r="D4316" s="36" t="s">
        <v>985</v>
      </c>
      <c r="E4316" s="37">
        <v>2.5999999999999999E-3</v>
      </c>
      <c r="F4316" s="54">
        <v>16.149999999999999</v>
      </c>
      <c r="G4316" s="54">
        <f t="shared" si="73"/>
        <v>4.1989999999999993E-2</v>
      </c>
      <c r="H4316" s="73"/>
      <c r="I4316" s="74"/>
      <c r="J4316" s="155">
        <v>0</v>
      </c>
    </row>
    <row r="4317" spans="1:10" ht="15" hidden="1" thickBot="1" x14ac:dyDescent="0.35">
      <c r="A4317" s="228"/>
      <c r="B4317" s="225"/>
      <c r="C4317" s="55"/>
      <c r="D4317" s="55"/>
      <c r="E4317" s="66"/>
      <c r="F4317" s="76" t="s">
        <v>560</v>
      </c>
      <c r="G4317" s="76" t="str">
        <f t="shared" si="73"/>
        <v/>
      </c>
      <c r="H4317" s="77"/>
      <c r="I4317" s="74"/>
      <c r="J4317" s="155">
        <v>0</v>
      </c>
    </row>
    <row r="4318" spans="1:10" ht="15" hidden="1" thickBot="1" x14ac:dyDescent="0.35">
      <c r="A4318" s="226" t="s">
        <v>1393</v>
      </c>
      <c r="B4318" s="223" t="e">
        <f>INDEX(#REF!,MATCH(Composições!A4318,#REF!,0),2)</f>
        <v>#REF!</v>
      </c>
      <c r="C4318" s="41"/>
      <c r="D4318" s="26" t="e">
        <f>TRIM(INDEX(#REF!,MATCH(Composições!A4318,#REF!,0),1))</f>
        <v>#REF!</v>
      </c>
      <c r="E4318" s="27"/>
      <c r="F4318" s="49" t="s">
        <v>560</v>
      </c>
      <c r="G4318" s="28" t="str">
        <f t="shared" si="73"/>
        <v/>
      </c>
      <c r="H4318" s="29"/>
      <c r="I4318" s="30"/>
      <c r="J4318" s="155">
        <v>0</v>
      </c>
    </row>
    <row r="4319" spans="1:10" ht="15" hidden="1" thickBot="1" x14ac:dyDescent="0.35">
      <c r="A4319" s="227"/>
      <c r="B4319" s="224"/>
      <c r="C4319" s="32"/>
      <c r="D4319" s="32"/>
      <c r="E4319" s="33"/>
      <c r="F4319" s="54" t="s">
        <v>560</v>
      </c>
      <c r="G4319" s="54" t="str">
        <f t="shared" si="73"/>
        <v/>
      </c>
      <c r="H4319" s="73"/>
      <c r="I4319" s="74"/>
      <c r="J4319" s="155">
        <v>0</v>
      </c>
    </row>
    <row r="4320" spans="1:10" ht="15" hidden="1" thickBot="1" x14ac:dyDescent="0.35">
      <c r="A4320" s="227"/>
      <c r="B4320" s="224"/>
      <c r="C4320" s="36" t="s">
        <v>1368</v>
      </c>
      <c r="D4320" s="36" t="s">
        <v>12</v>
      </c>
      <c r="E4320" s="37">
        <v>0.15</v>
      </c>
      <c r="F4320" s="54">
        <v>21.496499999999997</v>
      </c>
      <c r="G4320" s="54">
        <f t="shared" si="73"/>
        <v>3.2244749999999995</v>
      </c>
      <c r="H4320" s="39">
        <f>SUM(G4320:G4324)</f>
        <v>5.4697499999999994</v>
      </c>
      <c r="I4320" s="40"/>
      <c r="J4320" s="155">
        <v>0</v>
      </c>
    </row>
    <row r="4321" spans="1:10" ht="15" hidden="1" thickBot="1" x14ac:dyDescent="0.35">
      <c r="A4321" s="227"/>
      <c r="B4321" s="224"/>
      <c r="C4321" s="36" t="s">
        <v>745</v>
      </c>
      <c r="D4321" s="36" t="s">
        <v>12</v>
      </c>
      <c r="E4321" s="37">
        <v>0.15</v>
      </c>
      <c r="F4321" s="54">
        <v>14.968499999999999</v>
      </c>
      <c r="G4321" s="54">
        <f t="shared" si="73"/>
        <v>2.2452749999999999</v>
      </c>
      <c r="H4321" s="73"/>
      <c r="I4321" s="74"/>
      <c r="J4321" s="155">
        <v>0</v>
      </c>
    </row>
    <row r="4322" spans="1:10" ht="15" hidden="1" thickBot="1" x14ac:dyDescent="0.35">
      <c r="A4322" s="227"/>
      <c r="B4322" s="224"/>
      <c r="C4322" s="36" t="s">
        <v>1376</v>
      </c>
      <c r="D4322" s="36" t="s">
        <v>292</v>
      </c>
      <c r="E4322" s="37">
        <v>4.12</v>
      </c>
      <c r="F4322" s="54">
        <v>0</v>
      </c>
      <c r="G4322" s="54">
        <f t="shared" si="73"/>
        <v>0</v>
      </c>
      <c r="H4322" s="73"/>
      <c r="I4322" s="74"/>
      <c r="J4322" s="155">
        <v>0</v>
      </c>
    </row>
    <row r="4323" spans="1:10" ht="15" hidden="1" thickBot="1" x14ac:dyDescent="0.35">
      <c r="A4323" s="227"/>
      <c r="B4323" s="224"/>
      <c r="C4323" s="36" t="s">
        <v>1936</v>
      </c>
      <c r="D4323" s="36" t="s">
        <v>95</v>
      </c>
      <c r="E4323" s="37">
        <v>1.06</v>
      </c>
      <c r="F4323" s="54">
        <v>0</v>
      </c>
      <c r="G4323" s="54">
        <f t="shared" si="73"/>
        <v>0</v>
      </c>
      <c r="H4323" s="73"/>
      <c r="I4323" s="74"/>
      <c r="J4323" s="155">
        <v>0</v>
      </c>
    </row>
    <row r="4324" spans="1:10" ht="15" hidden="1" thickBot="1" x14ac:dyDescent="0.35">
      <c r="A4324" s="227"/>
      <c r="B4324" s="224"/>
      <c r="C4324" s="36" t="s">
        <v>1394</v>
      </c>
      <c r="D4324" s="36" t="s">
        <v>292</v>
      </c>
      <c r="E4324" s="37">
        <v>4.12</v>
      </c>
      <c r="F4324" s="54">
        <v>0</v>
      </c>
      <c r="G4324" s="54">
        <f t="shared" si="73"/>
        <v>0</v>
      </c>
      <c r="H4324" s="73"/>
      <c r="I4324" s="74"/>
      <c r="J4324" s="155">
        <v>0</v>
      </c>
    </row>
    <row r="4325" spans="1:10" ht="15" hidden="1" thickBot="1" x14ac:dyDescent="0.35">
      <c r="A4325" s="228"/>
      <c r="B4325" s="225"/>
      <c r="C4325" s="55"/>
      <c r="D4325" s="55"/>
      <c r="E4325" s="66"/>
      <c r="F4325" s="76" t="s">
        <v>560</v>
      </c>
      <c r="G4325" s="76" t="str">
        <f t="shared" si="73"/>
        <v/>
      </c>
      <c r="H4325" s="77"/>
      <c r="I4325" s="74"/>
      <c r="J4325" s="155">
        <v>0</v>
      </c>
    </row>
    <row r="4326" spans="1:10" ht="15" hidden="1" thickBot="1" x14ac:dyDescent="0.35">
      <c r="A4326" s="236" t="s">
        <v>1395</v>
      </c>
      <c r="B4326" s="239" t="e">
        <f>INDEX(#REF!,MATCH(Composições!A4326,#REF!,0),2)</f>
        <v>#REF!</v>
      </c>
      <c r="C4326" s="41"/>
      <c r="D4326" s="26" t="e">
        <f>TRIM(INDEX(#REF!,MATCH(Composições!A4326,#REF!,0),1))</f>
        <v>#REF!</v>
      </c>
      <c r="E4326" s="27"/>
      <c r="F4326" s="49" t="s">
        <v>560</v>
      </c>
      <c r="G4326" s="28" t="str">
        <f t="shared" si="73"/>
        <v/>
      </c>
      <c r="H4326" s="29"/>
      <c r="I4326" s="30"/>
      <c r="J4326" s="155">
        <v>0</v>
      </c>
    </row>
    <row r="4327" spans="1:10" ht="15" hidden="1" thickBot="1" x14ac:dyDescent="0.35">
      <c r="A4327" s="237"/>
      <c r="B4327" s="240"/>
      <c r="C4327" s="32"/>
      <c r="D4327" s="32"/>
      <c r="E4327" s="33"/>
      <c r="F4327" s="54" t="s">
        <v>560</v>
      </c>
      <c r="G4327" s="54" t="str">
        <f t="shared" si="73"/>
        <v/>
      </c>
      <c r="H4327" s="73"/>
      <c r="I4327" s="74"/>
      <c r="J4327" s="155">
        <v>0</v>
      </c>
    </row>
    <row r="4328" spans="1:10" ht="15" hidden="1" thickBot="1" x14ac:dyDescent="0.35">
      <c r="A4328" s="237"/>
      <c r="B4328" s="240"/>
      <c r="C4328" s="36" t="s">
        <v>812</v>
      </c>
      <c r="D4328" s="47" t="s">
        <v>939</v>
      </c>
      <c r="E4328" s="37">
        <v>2.8</v>
      </c>
      <c r="F4328" s="54">
        <v>10.3445</v>
      </c>
      <c r="G4328" s="54">
        <f t="shared" si="73"/>
        <v>28.964599999999997</v>
      </c>
      <c r="H4328" s="39">
        <f>SUM(G4328:G4336)</f>
        <v>239.31958228304174</v>
      </c>
      <c r="I4328" s="40"/>
      <c r="J4328" s="155">
        <v>0</v>
      </c>
    </row>
    <row r="4329" spans="1:10" ht="15" hidden="1" thickBot="1" x14ac:dyDescent="0.35">
      <c r="A4329" s="237"/>
      <c r="B4329" s="240"/>
      <c r="C4329" s="36" t="s">
        <v>1396</v>
      </c>
      <c r="D4329" s="36" t="s">
        <v>103</v>
      </c>
      <c r="E4329" s="37">
        <v>2.5000000000000001E-2</v>
      </c>
      <c r="F4329" s="54">
        <v>26.094999999999999</v>
      </c>
      <c r="G4329" s="54">
        <f t="shared" si="73"/>
        <v>0.65237500000000004</v>
      </c>
      <c r="H4329" s="73"/>
      <c r="I4329" s="74"/>
      <c r="J4329" s="155">
        <v>0</v>
      </c>
    </row>
    <row r="4330" spans="1:10" ht="15" hidden="1" thickBot="1" x14ac:dyDescent="0.35">
      <c r="A4330" s="237"/>
      <c r="B4330" s="240"/>
      <c r="C4330" s="36" t="s">
        <v>942</v>
      </c>
      <c r="D4330" s="36" t="s">
        <v>744</v>
      </c>
      <c r="E4330" s="37">
        <v>0.35</v>
      </c>
      <c r="F4330" s="54">
        <v>20.213000000000001</v>
      </c>
      <c r="G4330" s="54">
        <f t="shared" si="73"/>
        <v>7.0745499999999995</v>
      </c>
      <c r="H4330" s="73"/>
      <c r="I4330" s="74"/>
      <c r="J4330" s="155">
        <v>0</v>
      </c>
    </row>
    <row r="4331" spans="1:10" ht="15" hidden="1" thickBot="1" x14ac:dyDescent="0.35">
      <c r="A4331" s="237"/>
      <c r="B4331" s="240"/>
      <c r="C4331" s="36" t="s">
        <v>752</v>
      </c>
      <c r="D4331" s="36" t="s">
        <v>744</v>
      </c>
      <c r="E4331" s="37">
        <v>1.1000000000000001</v>
      </c>
      <c r="F4331" s="54">
        <v>20.314999999999998</v>
      </c>
      <c r="G4331" s="54">
        <f t="shared" si="73"/>
        <v>22.346499999999999</v>
      </c>
      <c r="H4331" s="73"/>
      <c r="I4331" s="74"/>
      <c r="J4331" s="155">
        <v>0</v>
      </c>
    </row>
    <row r="4332" spans="1:10" ht="15" hidden="1" thickBot="1" x14ac:dyDescent="0.35">
      <c r="A4332" s="237"/>
      <c r="B4332" s="240"/>
      <c r="C4332" s="36" t="s">
        <v>745</v>
      </c>
      <c r="D4332" s="36" t="s">
        <v>744</v>
      </c>
      <c r="E4332" s="37">
        <v>1.1299999999999999</v>
      </c>
      <c r="F4332" s="54">
        <v>14.968499999999999</v>
      </c>
      <c r="G4332" s="54">
        <f t="shared" si="73"/>
        <v>16.914404999999999</v>
      </c>
      <c r="H4332" s="73"/>
      <c r="I4332" s="74"/>
      <c r="J4332" s="155">
        <v>0</v>
      </c>
    </row>
    <row r="4333" spans="1:10" ht="27" hidden="1" thickBot="1" x14ac:dyDescent="0.35">
      <c r="A4333" s="237"/>
      <c r="B4333" s="240"/>
      <c r="C4333" s="36" t="s">
        <v>109</v>
      </c>
      <c r="D4333" s="36" t="s">
        <v>122</v>
      </c>
      <c r="E4333" s="37">
        <v>3.5000000000000001E-3</v>
      </c>
      <c r="F4333" s="54">
        <v>480.04350944049992</v>
      </c>
      <c r="G4333" s="54">
        <f t="shared" si="73"/>
        <v>1.6801522830417497</v>
      </c>
      <c r="H4333" s="73"/>
      <c r="I4333" s="74"/>
      <c r="J4333" s="155">
        <v>0</v>
      </c>
    </row>
    <row r="4334" spans="1:10" ht="15" hidden="1" thickBot="1" x14ac:dyDescent="0.35">
      <c r="A4334" s="237"/>
      <c r="B4334" s="240"/>
      <c r="C4334" s="36" t="s">
        <v>812</v>
      </c>
      <c r="D4334" s="47" t="s">
        <v>939</v>
      </c>
      <c r="E4334" s="37">
        <v>3</v>
      </c>
      <c r="F4334" s="54">
        <v>10.3445</v>
      </c>
      <c r="G4334" s="54">
        <f t="shared" si="73"/>
        <v>31.0335</v>
      </c>
      <c r="H4334" s="73"/>
      <c r="I4334" s="74"/>
      <c r="J4334" s="155">
        <v>0</v>
      </c>
    </row>
    <row r="4335" spans="1:10" ht="27" hidden="1" thickBot="1" x14ac:dyDescent="0.35">
      <c r="A4335" s="237"/>
      <c r="B4335" s="240"/>
      <c r="C4335" s="36" t="s">
        <v>133</v>
      </c>
      <c r="D4335" s="47" t="s">
        <v>939</v>
      </c>
      <c r="E4335" s="37">
        <v>15</v>
      </c>
      <c r="F4335" s="54">
        <v>8.1684999999999999</v>
      </c>
      <c r="G4335" s="54">
        <f t="shared" si="73"/>
        <v>122.5275</v>
      </c>
      <c r="H4335" s="73"/>
      <c r="I4335" s="74"/>
      <c r="J4335" s="155">
        <v>0</v>
      </c>
    </row>
    <row r="4336" spans="1:10" ht="15" hidden="1" thickBot="1" x14ac:dyDescent="0.35">
      <c r="A4336" s="237"/>
      <c r="B4336" s="240"/>
      <c r="C4336" s="36" t="s">
        <v>752</v>
      </c>
      <c r="D4336" s="36" t="s">
        <v>744</v>
      </c>
      <c r="E4336" s="37">
        <v>0.4</v>
      </c>
      <c r="F4336" s="54">
        <v>20.314999999999998</v>
      </c>
      <c r="G4336" s="54">
        <f t="shared" si="73"/>
        <v>8.1259999999999994</v>
      </c>
      <c r="H4336" s="73"/>
      <c r="I4336" s="74"/>
      <c r="J4336" s="155">
        <v>0</v>
      </c>
    </row>
    <row r="4337" spans="1:10" ht="15" hidden="1" thickBot="1" x14ac:dyDescent="0.35">
      <c r="A4337" s="238"/>
      <c r="B4337" s="241"/>
      <c r="C4337" s="55"/>
      <c r="D4337" s="55"/>
      <c r="E4337" s="66"/>
      <c r="F4337" s="76" t="s">
        <v>560</v>
      </c>
      <c r="G4337" s="76" t="str">
        <f t="shared" si="73"/>
        <v/>
      </c>
      <c r="H4337" s="77"/>
      <c r="I4337" s="74"/>
      <c r="J4337" s="155">
        <v>0</v>
      </c>
    </row>
    <row r="4338" spans="1:10" ht="15" hidden="1" thickBot="1" x14ac:dyDescent="0.35">
      <c r="A4338" s="236" t="s">
        <v>1397</v>
      </c>
      <c r="B4338" s="239" t="e">
        <f>INDEX(#REF!,MATCH(Composições!A4338,#REF!,0),2)</f>
        <v>#REF!</v>
      </c>
      <c r="C4338" s="41"/>
      <c r="D4338" s="26" t="e">
        <f>TRIM(INDEX(#REF!,MATCH(Composições!A4338,#REF!,0),1))</f>
        <v>#REF!</v>
      </c>
      <c r="E4338" s="27"/>
      <c r="F4338" s="49" t="s">
        <v>560</v>
      </c>
      <c r="G4338" s="28" t="str">
        <f t="shared" si="73"/>
        <v/>
      </c>
      <c r="H4338" s="29"/>
      <c r="I4338" s="30"/>
      <c r="J4338" s="155">
        <v>0</v>
      </c>
    </row>
    <row r="4339" spans="1:10" ht="15" hidden="1" thickBot="1" x14ac:dyDescent="0.35">
      <c r="A4339" s="237"/>
      <c r="B4339" s="240"/>
      <c r="C4339" s="32"/>
      <c r="D4339" s="32"/>
      <c r="E4339" s="33"/>
      <c r="F4339" s="54" t="s">
        <v>560</v>
      </c>
      <c r="G4339" s="54" t="str">
        <f t="shared" si="73"/>
        <v/>
      </c>
      <c r="H4339" s="73"/>
      <c r="I4339" s="74"/>
      <c r="J4339" s="155">
        <v>0</v>
      </c>
    </row>
    <row r="4340" spans="1:10" ht="15" hidden="1" thickBot="1" x14ac:dyDescent="0.35">
      <c r="A4340" s="237"/>
      <c r="B4340" s="240"/>
      <c r="C4340" s="36" t="s">
        <v>812</v>
      </c>
      <c r="D4340" s="47" t="s">
        <v>939</v>
      </c>
      <c r="E4340" s="37">
        <v>2.8</v>
      </c>
      <c r="F4340" s="54">
        <v>10.3445</v>
      </c>
      <c r="G4340" s="54">
        <f t="shared" si="73"/>
        <v>28.964599999999997</v>
      </c>
      <c r="H4340" s="39">
        <f>SUM(G4340:G4348)</f>
        <v>118.5736395660835</v>
      </c>
      <c r="I4340" s="40"/>
      <c r="J4340" s="155">
        <v>0</v>
      </c>
    </row>
    <row r="4341" spans="1:10" ht="15" hidden="1" thickBot="1" x14ac:dyDescent="0.35">
      <c r="A4341" s="237"/>
      <c r="B4341" s="240"/>
      <c r="C4341" s="36" t="s">
        <v>1396</v>
      </c>
      <c r="D4341" s="36" t="s">
        <v>103</v>
      </c>
      <c r="E4341" s="37">
        <v>2.5000000000000001E-2</v>
      </c>
      <c r="F4341" s="54">
        <v>26.094999999999999</v>
      </c>
      <c r="G4341" s="54">
        <f t="shared" si="73"/>
        <v>0.65237500000000004</v>
      </c>
      <c r="H4341" s="73"/>
      <c r="I4341" s="74"/>
      <c r="J4341" s="155">
        <v>0</v>
      </c>
    </row>
    <row r="4342" spans="1:10" ht="15" hidden="1" thickBot="1" x14ac:dyDescent="0.35">
      <c r="A4342" s="237"/>
      <c r="B4342" s="240"/>
      <c r="C4342" s="36" t="s">
        <v>942</v>
      </c>
      <c r="D4342" s="36" t="s">
        <v>744</v>
      </c>
      <c r="E4342" s="37">
        <v>0.35</v>
      </c>
      <c r="F4342" s="54">
        <v>20.213000000000001</v>
      </c>
      <c r="G4342" s="54">
        <f t="shared" si="73"/>
        <v>7.0745499999999995</v>
      </c>
      <c r="H4342" s="73"/>
      <c r="I4342" s="74"/>
      <c r="J4342" s="155">
        <v>0</v>
      </c>
    </row>
    <row r="4343" spans="1:10" ht="15" hidden="1" thickBot="1" x14ac:dyDescent="0.35">
      <c r="A4343" s="237"/>
      <c r="B4343" s="240"/>
      <c r="C4343" s="36" t="s">
        <v>752</v>
      </c>
      <c r="D4343" s="36" t="s">
        <v>744</v>
      </c>
      <c r="E4343" s="37">
        <v>1.1000000000000001</v>
      </c>
      <c r="F4343" s="54">
        <v>20.314999999999998</v>
      </c>
      <c r="G4343" s="54">
        <f t="shared" si="73"/>
        <v>22.346499999999999</v>
      </c>
      <c r="H4343" s="73"/>
      <c r="I4343" s="74"/>
      <c r="J4343" s="155">
        <v>0</v>
      </c>
    </row>
    <row r="4344" spans="1:10" ht="15" hidden="1" thickBot="1" x14ac:dyDescent="0.35">
      <c r="A4344" s="237"/>
      <c r="B4344" s="240"/>
      <c r="C4344" s="36" t="s">
        <v>745</v>
      </c>
      <c r="D4344" s="36" t="s">
        <v>744</v>
      </c>
      <c r="E4344" s="37">
        <v>1.1299999999999999</v>
      </c>
      <c r="F4344" s="54">
        <v>14.968499999999999</v>
      </c>
      <c r="G4344" s="54">
        <f t="shared" si="73"/>
        <v>16.914404999999999</v>
      </c>
      <c r="H4344" s="73"/>
      <c r="I4344" s="74"/>
      <c r="J4344" s="155">
        <v>0</v>
      </c>
    </row>
    <row r="4345" spans="1:10" ht="27" hidden="1" thickBot="1" x14ac:dyDescent="0.35">
      <c r="A4345" s="237"/>
      <c r="B4345" s="240"/>
      <c r="C4345" s="36" t="s">
        <v>109</v>
      </c>
      <c r="D4345" s="36" t="s">
        <v>122</v>
      </c>
      <c r="E4345" s="37">
        <v>3.5000000000000001E-3</v>
      </c>
      <c r="F4345" s="54">
        <v>480.04350944049992</v>
      </c>
      <c r="G4345" s="54">
        <f t="shared" si="73"/>
        <v>1.6801522830417497</v>
      </c>
      <c r="H4345" s="73"/>
      <c r="I4345" s="74"/>
      <c r="J4345" s="155">
        <v>0</v>
      </c>
    </row>
    <row r="4346" spans="1:10" ht="15" hidden="1" thickBot="1" x14ac:dyDescent="0.35">
      <c r="A4346" s="237"/>
      <c r="B4346" s="240"/>
      <c r="C4346" s="36" t="s">
        <v>752</v>
      </c>
      <c r="D4346" s="36" t="s">
        <v>744</v>
      </c>
      <c r="E4346" s="37">
        <v>1.1000000000000001</v>
      </c>
      <c r="F4346" s="54">
        <v>20.314999999999998</v>
      </c>
      <c r="G4346" s="54">
        <f t="shared" si="73"/>
        <v>22.346499999999999</v>
      </c>
      <c r="H4346" s="73"/>
      <c r="I4346" s="74"/>
      <c r="J4346" s="155">
        <v>0</v>
      </c>
    </row>
    <row r="4347" spans="1:10" ht="15" hidden="1" thickBot="1" x14ac:dyDescent="0.35">
      <c r="A4347" s="237"/>
      <c r="B4347" s="240"/>
      <c r="C4347" s="36" t="s">
        <v>745</v>
      </c>
      <c r="D4347" s="36" t="s">
        <v>744</v>
      </c>
      <c r="E4347" s="37">
        <v>1.1299999999999999</v>
      </c>
      <c r="F4347" s="54">
        <v>14.968499999999999</v>
      </c>
      <c r="G4347" s="54">
        <f t="shared" si="73"/>
        <v>16.914404999999999</v>
      </c>
      <c r="H4347" s="73"/>
      <c r="I4347" s="74"/>
      <c r="J4347" s="155">
        <v>0</v>
      </c>
    </row>
    <row r="4348" spans="1:10" ht="27" hidden="1" thickBot="1" x14ac:dyDescent="0.35">
      <c r="A4348" s="237"/>
      <c r="B4348" s="240"/>
      <c r="C4348" s="36" t="s">
        <v>109</v>
      </c>
      <c r="D4348" s="36" t="s">
        <v>122</v>
      </c>
      <c r="E4348" s="37">
        <v>3.5000000000000001E-3</v>
      </c>
      <c r="F4348" s="54">
        <v>480.04350944049992</v>
      </c>
      <c r="G4348" s="54">
        <f t="shared" si="73"/>
        <v>1.6801522830417497</v>
      </c>
      <c r="H4348" s="73"/>
      <c r="I4348" s="74"/>
      <c r="J4348" s="155">
        <v>0</v>
      </c>
    </row>
    <row r="4349" spans="1:10" ht="15" hidden="1" thickBot="1" x14ac:dyDescent="0.35">
      <c r="A4349" s="238"/>
      <c r="B4349" s="241"/>
      <c r="C4349" s="55"/>
      <c r="D4349" s="55"/>
      <c r="E4349" s="66"/>
      <c r="F4349" s="76" t="s">
        <v>560</v>
      </c>
      <c r="G4349" s="76" t="str">
        <f t="shared" si="73"/>
        <v/>
      </c>
      <c r="H4349" s="77"/>
      <c r="I4349" s="74"/>
      <c r="J4349" s="155">
        <v>0</v>
      </c>
    </row>
    <row r="4350" spans="1:10" ht="15" hidden="1" thickBot="1" x14ac:dyDescent="0.35">
      <c r="A4350" s="226" t="s">
        <v>1398</v>
      </c>
      <c r="B4350" s="223" t="e">
        <f>INDEX(#REF!,MATCH(Composições!A4350,#REF!,0),2)</f>
        <v>#REF!</v>
      </c>
      <c r="C4350" s="41"/>
      <c r="D4350" s="26" t="e">
        <f>TRIM(INDEX(#REF!,MATCH(Composições!A4350,#REF!,0),1))</f>
        <v>#REF!</v>
      </c>
      <c r="E4350" s="27"/>
      <c r="F4350" s="49" t="s">
        <v>560</v>
      </c>
      <c r="G4350" s="28" t="str">
        <f t="shared" si="73"/>
        <v/>
      </c>
      <c r="H4350" s="29"/>
      <c r="I4350" s="30"/>
      <c r="J4350" s="155">
        <v>0</v>
      </c>
    </row>
    <row r="4351" spans="1:10" ht="15" hidden="1" thickBot="1" x14ac:dyDescent="0.35">
      <c r="A4351" s="227"/>
      <c r="B4351" s="224"/>
      <c r="C4351" s="32"/>
      <c r="D4351" s="32"/>
      <c r="E4351" s="33"/>
      <c r="F4351" s="54" t="s">
        <v>560</v>
      </c>
      <c r="G4351" s="54" t="str">
        <f t="shared" si="73"/>
        <v/>
      </c>
      <c r="H4351" s="73"/>
      <c r="I4351" s="74"/>
      <c r="J4351" s="155">
        <v>0</v>
      </c>
    </row>
    <row r="4352" spans="1:10" ht="15" hidden="1" thickBot="1" x14ac:dyDescent="0.35">
      <c r="A4352" s="227"/>
      <c r="B4352" s="224"/>
      <c r="C4352" s="36" t="s">
        <v>745</v>
      </c>
      <c r="D4352" s="36" t="s">
        <v>12</v>
      </c>
      <c r="E4352" s="37">
        <v>0.11</v>
      </c>
      <c r="F4352" s="54">
        <v>14.968499999999999</v>
      </c>
      <c r="G4352" s="54">
        <f t="shared" si="73"/>
        <v>1.6465349999999999</v>
      </c>
      <c r="H4352" s="39">
        <f>SUM(G4352:G4354)</f>
        <v>1.6465349999999999</v>
      </c>
      <c r="I4352" s="40"/>
      <c r="J4352" s="155">
        <v>0</v>
      </c>
    </row>
    <row r="4353" spans="1:10" ht="15" hidden="1" thickBot="1" x14ac:dyDescent="0.35">
      <c r="A4353" s="227"/>
      <c r="B4353" s="224"/>
      <c r="C4353" s="36" t="s">
        <v>1399</v>
      </c>
      <c r="D4353" s="36" t="s">
        <v>1400</v>
      </c>
      <c r="E4353" s="37">
        <v>0.22</v>
      </c>
      <c r="F4353" s="54">
        <v>0</v>
      </c>
      <c r="G4353" s="54">
        <f t="shared" si="73"/>
        <v>0</v>
      </c>
      <c r="H4353" s="73"/>
      <c r="I4353" s="74"/>
      <c r="J4353" s="155">
        <v>0</v>
      </c>
    </row>
    <row r="4354" spans="1:10" ht="15" hidden="1" thickBot="1" x14ac:dyDescent="0.35">
      <c r="A4354" s="227"/>
      <c r="B4354" s="224"/>
      <c r="C4354" s="36" t="s">
        <v>1401</v>
      </c>
      <c r="D4354" s="36" t="s">
        <v>103</v>
      </c>
      <c r="E4354" s="37">
        <v>0.4</v>
      </c>
      <c r="F4354" s="54">
        <v>0</v>
      </c>
      <c r="G4354" s="54">
        <f t="shared" si="73"/>
        <v>0</v>
      </c>
      <c r="H4354" s="73"/>
      <c r="I4354" s="74"/>
      <c r="J4354" s="155">
        <v>0</v>
      </c>
    </row>
    <row r="4355" spans="1:10" ht="15" hidden="1" thickBot="1" x14ac:dyDescent="0.35">
      <c r="A4355" s="228"/>
      <c r="B4355" s="225"/>
      <c r="C4355" s="55"/>
      <c r="D4355" s="55"/>
      <c r="E4355" s="66"/>
      <c r="F4355" s="76" t="s">
        <v>560</v>
      </c>
      <c r="G4355" s="76" t="str">
        <f t="shared" si="73"/>
        <v/>
      </c>
      <c r="H4355" s="77"/>
      <c r="I4355" s="74"/>
      <c r="J4355" s="155">
        <v>0</v>
      </c>
    </row>
    <row r="4356" spans="1:10" ht="15" hidden="1" thickBot="1" x14ac:dyDescent="0.35">
      <c r="A4356" s="226" t="s">
        <v>1402</v>
      </c>
      <c r="B4356" s="223" t="e">
        <f>INDEX(#REF!,MATCH(Composições!A4356,#REF!,0),2)</f>
        <v>#REF!</v>
      </c>
      <c r="C4356" s="41"/>
      <c r="D4356" s="26" t="e">
        <f>TRIM(INDEX(#REF!,MATCH(Composições!A4356,#REF!,0),1))</f>
        <v>#REF!</v>
      </c>
      <c r="E4356" s="27"/>
      <c r="F4356" s="49" t="s">
        <v>560</v>
      </c>
      <c r="G4356" s="28" t="str">
        <f t="shared" si="73"/>
        <v/>
      </c>
      <c r="H4356" s="29"/>
      <c r="I4356" s="30"/>
      <c r="J4356" s="155">
        <v>0</v>
      </c>
    </row>
    <row r="4357" spans="1:10" ht="15" hidden="1" thickBot="1" x14ac:dyDescent="0.35">
      <c r="A4357" s="227"/>
      <c r="B4357" s="224"/>
      <c r="C4357" s="32"/>
      <c r="D4357" s="32"/>
      <c r="E4357" s="33"/>
      <c r="F4357" s="54" t="s">
        <v>560</v>
      </c>
      <c r="G4357" s="54" t="str">
        <f t="shared" si="73"/>
        <v/>
      </c>
      <c r="H4357" s="73"/>
      <c r="I4357" s="74"/>
      <c r="J4357" s="155">
        <v>0</v>
      </c>
    </row>
    <row r="4358" spans="1:10" ht="27" hidden="1" thickBot="1" x14ac:dyDescent="0.35">
      <c r="A4358" s="227"/>
      <c r="B4358" s="224"/>
      <c r="C4358" s="36" t="s">
        <v>1403</v>
      </c>
      <c r="D4358" s="47" t="s">
        <v>292</v>
      </c>
      <c r="E4358" s="37">
        <v>1</v>
      </c>
      <c r="F4358" s="54">
        <v>10.285</v>
      </c>
      <c r="G4358" s="54">
        <f t="shared" si="73"/>
        <v>10.285</v>
      </c>
      <c r="H4358" s="39">
        <f>SUM(G4358:G4372)</f>
        <v>191.66145015000001</v>
      </c>
      <c r="I4358" s="40"/>
      <c r="J4358" s="155">
        <v>0</v>
      </c>
    </row>
    <row r="4359" spans="1:10" ht="27" hidden="1" thickBot="1" x14ac:dyDescent="0.35">
      <c r="A4359" s="227"/>
      <c r="B4359" s="224"/>
      <c r="C4359" s="36" t="s">
        <v>2061</v>
      </c>
      <c r="D4359" s="36" t="s">
        <v>292</v>
      </c>
      <c r="E4359" s="37">
        <v>1</v>
      </c>
      <c r="F4359" s="54">
        <v>40.349499999999999</v>
      </c>
      <c r="G4359" s="54">
        <f t="shared" si="73"/>
        <v>40.349499999999999</v>
      </c>
      <c r="H4359" s="73"/>
      <c r="I4359" s="74"/>
      <c r="J4359" s="155">
        <v>0</v>
      </c>
    </row>
    <row r="4360" spans="1:10" ht="27" hidden="1" thickBot="1" x14ac:dyDescent="0.35">
      <c r="A4360" s="227"/>
      <c r="B4360" s="224"/>
      <c r="C4360" s="36" t="s">
        <v>1404</v>
      </c>
      <c r="D4360" s="36" t="s">
        <v>292</v>
      </c>
      <c r="E4360" s="37">
        <v>7.0000000000000007E-2</v>
      </c>
      <c r="F4360" s="54">
        <v>24.734999999999999</v>
      </c>
      <c r="G4360" s="54">
        <f t="shared" si="73"/>
        <v>1.7314500000000002</v>
      </c>
      <c r="H4360" s="73"/>
      <c r="I4360" s="74"/>
      <c r="J4360" s="155">
        <v>0</v>
      </c>
    </row>
    <row r="4361" spans="1:10" ht="27" hidden="1" thickBot="1" x14ac:dyDescent="0.35">
      <c r="A4361" s="227"/>
      <c r="B4361" s="224"/>
      <c r="C4361" s="36" t="s">
        <v>994</v>
      </c>
      <c r="D4361" s="36" t="s">
        <v>744</v>
      </c>
      <c r="E4361" s="37">
        <v>0.11</v>
      </c>
      <c r="F4361" s="54">
        <v>15.4955</v>
      </c>
      <c r="G4361" s="54">
        <f t="shared" si="73"/>
        <v>1.7045049999999999</v>
      </c>
      <c r="H4361" s="73"/>
      <c r="I4361" s="74"/>
      <c r="J4361" s="155">
        <v>0</v>
      </c>
    </row>
    <row r="4362" spans="1:10" ht="27" hidden="1" thickBot="1" x14ac:dyDescent="0.35">
      <c r="A4362" s="227"/>
      <c r="B4362" s="224"/>
      <c r="C4362" s="36" t="s">
        <v>995</v>
      </c>
      <c r="D4362" s="36" t="s">
        <v>744</v>
      </c>
      <c r="E4362" s="37">
        <v>0.11</v>
      </c>
      <c r="F4362" s="54">
        <v>19.898499999999999</v>
      </c>
      <c r="G4362" s="54">
        <f t="shared" si="73"/>
        <v>2.1888349999999996</v>
      </c>
      <c r="H4362" s="73"/>
      <c r="I4362" s="74"/>
      <c r="J4362" s="155">
        <v>0</v>
      </c>
    </row>
    <row r="4363" spans="1:10" ht="15" hidden="1" thickBot="1" x14ac:dyDescent="0.35">
      <c r="A4363" s="227"/>
      <c r="B4363" s="224"/>
      <c r="C4363" s="36" t="s">
        <v>1405</v>
      </c>
      <c r="D4363" s="36" t="s">
        <v>292</v>
      </c>
      <c r="E4363" s="37">
        <v>6.1999999999999998E-3</v>
      </c>
      <c r="F4363" s="54">
        <v>67.566499999999991</v>
      </c>
      <c r="G4363" s="54">
        <f t="shared" si="73"/>
        <v>0.4189122999999999</v>
      </c>
      <c r="H4363" s="73"/>
      <c r="I4363" s="74"/>
      <c r="J4363" s="155">
        <v>0</v>
      </c>
    </row>
    <row r="4364" spans="1:10" ht="27" hidden="1" thickBot="1" x14ac:dyDescent="0.35">
      <c r="A4364" s="227"/>
      <c r="B4364" s="224"/>
      <c r="C4364" s="36" t="s">
        <v>2067</v>
      </c>
      <c r="D4364" s="36" t="s">
        <v>515</v>
      </c>
      <c r="E4364" s="37">
        <f>1.04/2</f>
        <v>0.52</v>
      </c>
      <c r="F4364" s="54">
        <v>58.92199999999999</v>
      </c>
      <c r="G4364" s="54">
        <f t="shared" si="73"/>
        <v>30.639439999999997</v>
      </c>
      <c r="H4364" s="73"/>
      <c r="I4364" s="74"/>
      <c r="J4364" s="155">
        <v>0</v>
      </c>
    </row>
    <row r="4365" spans="1:10" ht="15" hidden="1" thickBot="1" x14ac:dyDescent="0.35">
      <c r="A4365" s="227"/>
      <c r="B4365" s="224"/>
      <c r="C4365" s="36" t="s">
        <v>1406</v>
      </c>
      <c r="D4365" s="36" t="s">
        <v>292</v>
      </c>
      <c r="E4365" s="37">
        <v>1.0200000000000001E-2</v>
      </c>
      <c r="F4365" s="54">
        <v>58.6755</v>
      </c>
      <c r="G4365" s="54">
        <f t="shared" si="73"/>
        <v>0.59849010000000002</v>
      </c>
      <c r="H4365" s="73"/>
      <c r="I4365" s="74"/>
      <c r="J4365" s="155">
        <v>0</v>
      </c>
    </row>
    <row r="4366" spans="1:10" ht="15" hidden="1" thickBot="1" x14ac:dyDescent="0.35">
      <c r="A4366" s="227"/>
      <c r="B4366" s="224"/>
      <c r="C4366" s="36" t="s">
        <v>1249</v>
      </c>
      <c r="D4366" s="36" t="s">
        <v>292</v>
      </c>
      <c r="E4366" s="37">
        <v>3.6999999999999998E-2</v>
      </c>
      <c r="F4366" s="54">
        <v>1.87</v>
      </c>
      <c r="G4366" s="54">
        <f t="shared" si="73"/>
        <v>6.9190000000000002E-2</v>
      </c>
      <c r="H4366" s="73"/>
      <c r="I4366" s="74"/>
      <c r="J4366" s="155">
        <v>0</v>
      </c>
    </row>
    <row r="4367" spans="1:10" ht="27" hidden="1" thickBot="1" x14ac:dyDescent="0.35">
      <c r="A4367" s="227"/>
      <c r="B4367" s="224"/>
      <c r="C4367" s="36" t="s">
        <v>994</v>
      </c>
      <c r="D4367" s="36" t="s">
        <v>744</v>
      </c>
      <c r="E4367" s="37">
        <v>0.18</v>
      </c>
      <c r="F4367" s="54">
        <v>15.4955</v>
      </c>
      <c r="G4367" s="54">
        <f t="shared" si="73"/>
        <v>2.7891900000000001</v>
      </c>
      <c r="H4367" s="73"/>
      <c r="I4367" s="74"/>
      <c r="J4367" s="155">
        <v>0</v>
      </c>
    </row>
    <row r="4368" spans="1:10" ht="27" hidden="1" thickBot="1" x14ac:dyDescent="0.35">
      <c r="A4368" s="227"/>
      <c r="B4368" s="224"/>
      <c r="C4368" s="36" t="s">
        <v>995</v>
      </c>
      <c r="D4368" s="36" t="s">
        <v>744</v>
      </c>
      <c r="E4368" s="37">
        <v>0.18</v>
      </c>
      <c r="F4368" s="54">
        <v>19.898499999999999</v>
      </c>
      <c r="G4368" s="54">
        <f t="shared" si="73"/>
        <v>3.5817299999999994</v>
      </c>
      <c r="H4368" s="73"/>
      <c r="I4368" s="74"/>
      <c r="J4368" s="155">
        <v>0</v>
      </c>
    </row>
    <row r="4369" spans="1:10" ht="15" hidden="1" thickBot="1" x14ac:dyDescent="0.35">
      <c r="A4369" s="227"/>
      <c r="B4369" s="224"/>
      <c r="C4369" s="36" t="s">
        <v>752</v>
      </c>
      <c r="D4369" s="47" t="s">
        <v>744</v>
      </c>
      <c r="E4369" s="37">
        <v>1</v>
      </c>
      <c r="F4369" s="54">
        <v>20.314999999999998</v>
      </c>
      <c r="G4369" s="54">
        <f t="shared" si="73"/>
        <v>20.314999999999998</v>
      </c>
      <c r="H4369" s="73"/>
      <c r="I4369" s="74"/>
      <c r="J4369" s="155">
        <v>0</v>
      </c>
    </row>
    <row r="4370" spans="1:10" ht="27" hidden="1" thickBot="1" x14ac:dyDescent="0.35">
      <c r="A4370" s="227"/>
      <c r="B4370" s="224"/>
      <c r="C4370" s="36" t="s">
        <v>817</v>
      </c>
      <c r="D4370" s="47" t="s">
        <v>939</v>
      </c>
      <c r="E4370" s="37">
        <f>ROUND(1.8*(PI()*(0.25-0.15)*0.1)*10,4)</f>
        <v>0.5655</v>
      </c>
      <c r="F4370" s="54">
        <v>36.150500000000001</v>
      </c>
      <c r="G4370" s="54">
        <f t="shared" ref="G4370:G4433" si="74">IF(ISNUMBER(F4370),E4370*F4370,"")</f>
        <v>20.443107749999999</v>
      </c>
      <c r="H4370" s="73"/>
      <c r="I4370" s="74"/>
      <c r="J4370" s="155">
        <v>0</v>
      </c>
    </row>
    <row r="4371" spans="1:10" ht="27" hidden="1" thickBot="1" x14ac:dyDescent="0.35">
      <c r="A4371" s="227"/>
      <c r="B4371" s="224"/>
      <c r="C4371" s="36" t="s">
        <v>1106</v>
      </c>
      <c r="D4371" s="37" t="s">
        <v>1107</v>
      </c>
      <c r="E4371" s="37">
        <v>0.2</v>
      </c>
      <c r="F4371" s="54">
        <v>27.352999999999998</v>
      </c>
      <c r="G4371" s="54">
        <f t="shared" si="74"/>
        <v>5.4706000000000001</v>
      </c>
      <c r="H4371" s="73"/>
      <c r="I4371" s="74"/>
      <c r="J4371" s="155">
        <v>0</v>
      </c>
    </row>
    <row r="4372" spans="1:10" ht="15" hidden="1" thickBot="1" x14ac:dyDescent="0.35">
      <c r="A4372" s="227"/>
      <c r="B4372" s="224"/>
      <c r="C4372" s="36" t="s">
        <v>1407</v>
      </c>
      <c r="D4372" s="36" t="s">
        <v>292</v>
      </c>
      <c r="E4372" s="37">
        <v>1</v>
      </c>
      <c r="F4372" s="54">
        <v>51.076500000000003</v>
      </c>
      <c r="G4372" s="54">
        <f t="shared" si="74"/>
        <v>51.076500000000003</v>
      </c>
      <c r="H4372" s="73"/>
      <c r="I4372" s="74"/>
      <c r="J4372" s="155">
        <v>0</v>
      </c>
    </row>
    <row r="4373" spans="1:10" ht="15" hidden="1" thickBot="1" x14ac:dyDescent="0.35">
      <c r="A4373" s="227"/>
      <c r="B4373" s="224"/>
      <c r="C4373" s="36"/>
      <c r="D4373" s="36"/>
      <c r="E4373" s="37"/>
      <c r="F4373" s="54" t="s">
        <v>560</v>
      </c>
      <c r="G4373" s="54"/>
      <c r="H4373" s="73"/>
      <c r="I4373" s="74"/>
      <c r="J4373" s="155">
        <v>0</v>
      </c>
    </row>
    <row r="4374" spans="1:10" ht="15" hidden="1" thickBot="1" x14ac:dyDescent="0.35">
      <c r="A4374" s="227"/>
      <c r="B4374" s="224"/>
      <c r="C4374" s="48" t="s">
        <v>1943</v>
      </c>
      <c r="D4374" s="36"/>
      <c r="E4374" s="37"/>
      <c r="F4374" s="54" t="s">
        <v>560</v>
      </c>
      <c r="G4374" s="54"/>
      <c r="H4374" s="73"/>
      <c r="I4374" s="74"/>
      <c r="J4374" s="155">
        <v>0</v>
      </c>
    </row>
    <row r="4375" spans="1:10" ht="15" hidden="1" thickBot="1" x14ac:dyDescent="0.35">
      <c r="A4375" s="228"/>
      <c r="B4375" s="225"/>
      <c r="C4375" s="55"/>
      <c r="D4375" s="55"/>
      <c r="E4375" s="66"/>
      <c r="F4375" s="76" t="s">
        <v>560</v>
      </c>
      <c r="G4375" s="76" t="str">
        <f t="shared" ref="G4375:G4380" si="75">IF(ISNUMBER(F4375),E4375*F4375,"")</f>
        <v/>
      </c>
      <c r="H4375" s="77"/>
      <c r="I4375" s="74"/>
      <c r="J4375" s="155">
        <v>0</v>
      </c>
    </row>
    <row r="4376" spans="1:10" ht="15" hidden="1" thickBot="1" x14ac:dyDescent="0.35">
      <c r="A4376" s="226" t="s">
        <v>1408</v>
      </c>
      <c r="B4376" s="223" t="e">
        <f>INDEX(#REF!,MATCH(Composições!A4376,#REF!,0),2)</f>
        <v>#REF!</v>
      </c>
      <c r="C4376" s="41"/>
      <c r="D4376" s="26" t="e">
        <f>TRIM(INDEX(#REF!,MATCH(Composições!A4376,#REF!,0),1))</f>
        <v>#REF!</v>
      </c>
      <c r="E4376" s="27"/>
      <c r="F4376" s="49" t="s">
        <v>560</v>
      </c>
      <c r="G4376" s="28" t="str">
        <f t="shared" si="75"/>
        <v/>
      </c>
      <c r="H4376" s="29"/>
      <c r="I4376" s="30"/>
      <c r="J4376" s="155">
        <v>0</v>
      </c>
    </row>
    <row r="4377" spans="1:10" ht="15" hidden="1" thickBot="1" x14ac:dyDescent="0.35">
      <c r="A4377" s="227"/>
      <c r="B4377" s="224"/>
      <c r="C4377" s="32"/>
      <c r="D4377" s="32"/>
      <c r="E4377" s="33"/>
      <c r="F4377" s="54" t="s">
        <v>560</v>
      </c>
      <c r="G4377" s="54" t="str">
        <f t="shared" si="75"/>
        <v/>
      </c>
      <c r="H4377" s="73"/>
      <c r="I4377" s="74"/>
      <c r="J4377" s="155">
        <v>0</v>
      </c>
    </row>
    <row r="4378" spans="1:10" ht="15" hidden="1" thickBot="1" x14ac:dyDescent="0.35">
      <c r="A4378" s="227"/>
      <c r="B4378" s="224"/>
      <c r="C4378" s="36" t="s">
        <v>1057</v>
      </c>
      <c r="D4378" s="36" t="s">
        <v>744</v>
      </c>
      <c r="E4378" s="37">
        <v>0.5</v>
      </c>
      <c r="F4378" s="54">
        <v>20.314999999999998</v>
      </c>
      <c r="G4378" s="54">
        <f t="shared" si="75"/>
        <v>10.157499999999999</v>
      </c>
      <c r="H4378" s="39">
        <f>SUM(G4378:G4380)</f>
        <v>36.071207749999999</v>
      </c>
      <c r="I4378" s="40"/>
      <c r="J4378" s="155">
        <v>0</v>
      </c>
    </row>
    <row r="4379" spans="1:10" ht="27" hidden="1" thickBot="1" x14ac:dyDescent="0.35">
      <c r="A4379" s="227"/>
      <c r="B4379" s="224"/>
      <c r="C4379" s="36" t="s">
        <v>817</v>
      </c>
      <c r="D4379" s="47" t="s">
        <v>939</v>
      </c>
      <c r="E4379" s="37">
        <f>ROUND(1.8*(PI()*(0.25-0.15)*0.1)*10,4)</f>
        <v>0.5655</v>
      </c>
      <c r="F4379" s="54">
        <v>36.150500000000001</v>
      </c>
      <c r="G4379" s="54">
        <f t="shared" si="75"/>
        <v>20.443107749999999</v>
      </c>
      <c r="H4379" s="73"/>
      <c r="I4379" s="74"/>
      <c r="J4379" s="155">
        <v>0</v>
      </c>
    </row>
    <row r="4380" spans="1:10" ht="27" hidden="1" thickBot="1" x14ac:dyDescent="0.35">
      <c r="A4380" s="227"/>
      <c r="B4380" s="224"/>
      <c r="C4380" s="36" t="s">
        <v>1106</v>
      </c>
      <c r="D4380" s="37" t="s">
        <v>1107</v>
      </c>
      <c r="E4380" s="37">
        <v>0.2</v>
      </c>
      <c r="F4380" s="54">
        <v>27.352999999999998</v>
      </c>
      <c r="G4380" s="54">
        <f t="shared" si="75"/>
        <v>5.4706000000000001</v>
      </c>
      <c r="H4380" s="73"/>
      <c r="I4380" s="74"/>
      <c r="J4380" s="155">
        <v>0</v>
      </c>
    </row>
    <row r="4381" spans="1:10" ht="15" hidden="1" thickBot="1" x14ac:dyDescent="0.35">
      <c r="A4381" s="227"/>
      <c r="B4381" s="224"/>
      <c r="C4381" s="36"/>
      <c r="D4381" s="37"/>
      <c r="E4381" s="37"/>
      <c r="F4381" s="54" t="s">
        <v>560</v>
      </c>
      <c r="G4381" s="54"/>
      <c r="H4381" s="73"/>
      <c r="I4381" s="74"/>
      <c r="J4381" s="155">
        <v>0</v>
      </c>
    </row>
    <row r="4382" spans="1:10" ht="15" hidden="1" thickBot="1" x14ac:dyDescent="0.35">
      <c r="A4382" s="227"/>
      <c r="B4382" s="224"/>
      <c r="C4382" s="48" t="s">
        <v>1943</v>
      </c>
      <c r="D4382" s="37"/>
      <c r="E4382" s="37"/>
      <c r="F4382" s="54" t="s">
        <v>560</v>
      </c>
      <c r="G4382" s="54"/>
      <c r="H4382" s="73"/>
      <c r="I4382" s="74"/>
      <c r="J4382" s="155">
        <v>0</v>
      </c>
    </row>
    <row r="4383" spans="1:10" ht="15" hidden="1" thickBot="1" x14ac:dyDescent="0.35">
      <c r="A4383" s="228"/>
      <c r="B4383" s="225"/>
      <c r="C4383" s="55"/>
      <c r="D4383" s="55"/>
      <c r="E4383" s="66"/>
      <c r="F4383" s="76" t="s">
        <v>560</v>
      </c>
      <c r="G4383" s="76" t="str">
        <f t="shared" ref="G4383:G4446" si="76">IF(ISNUMBER(F4383),E4383*F4383,"")</f>
        <v/>
      </c>
      <c r="H4383" s="77"/>
      <c r="I4383" s="74"/>
      <c r="J4383" s="155">
        <v>0</v>
      </c>
    </row>
    <row r="4384" spans="1:10" ht="15" hidden="1" thickBot="1" x14ac:dyDescent="0.35">
      <c r="A4384" s="226" t="s">
        <v>1409</v>
      </c>
      <c r="B4384" s="223" t="e">
        <f>INDEX(#REF!,MATCH(Composições!A4384,#REF!,0),2)</f>
        <v>#REF!</v>
      </c>
      <c r="C4384" s="41"/>
      <c r="D4384" s="26" t="e">
        <f>TRIM(INDEX(#REF!,MATCH(Composições!A4384,#REF!,0),1))</f>
        <v>#REF!</v>
      </c>
      <c r="E4384" s="27"/>
      <c r="F4384" s="49" t="s">
        <v>560</v>
      </c>
      <c r="G4384" s="28" t="str">
        <f t="shared" si="76"/>
        <v/>
      </c>
      <c r="H4384" s="29"/>
      <c r="I4384" s="30"/>
      <c r="J4384" s="155">
        <v>0</v>
      </c>
    </row>
    <row r="4385" spans="1:10" ht="15" hidden="1" thickBot="1" x14ac:dyDescent="0.35">
      <c r="A4385" s="227"/>
      <c r="B4385" s="224"/>
      <c r="C4385" s="32"/>
      <c r="D4385" s="32"/>
      <c r="E4385" s="33"/>
      <c r="F4385" s="54" t="s">
        <v>560</v>
      </c>
      <c r="G4385" s="54" t="str">
        <f t="shared" si="76"/>
        <v/>
      </c>
      <c r="H4385" s="73"/>
      <c r="I4385" s="74"/>
      <c r="J4385" s="155">
        <v>0</v>
      </c>
    </row>
    <row r="4386" spans="1:10" ht="15" hidden="1" thickBot="1" x14ac:dyDescent="0.35">
      <c r="A4386" s="227"/>
      <c r="B4386" s="224"/>
      <c r="C4386" s="36" t="s">
        <v>789</v>
      </c>
      <c r="D4386" s="36" t="s">
        <v>939</v>
      </c>
      <c r="E4386" s="37">
        <v>0.5</v>
      </c>
      <c r="F4386" s="54">
        <v>0.46750000000000003</v>
      </c>
      <c r="G4386" s="54">
        <f t="shared" si="76"/>
        <v>0.23375000000000001</v>
      </c>
      <c r="H4386" s="39">
        <f>SUM(G4386:G4390)</f>
        <v>33.166733360256401</v>
      </c>
      <c r="I4386" s="40"/>
      <c r="J4386" s="155">
        <v>0</v>
      </c>
    </row>
    <row r="4387" spans="1:10" ht="27" hidden="1" thickBot="1" x14ac:dyDescent="0.35">
      <c r="A4387" s="227"/>
      <c r="B4387" s="224"/>
      <c r="C4387" s="36" t="s">
        <v>1410</v>
      </c>
      <c r="D4387" s="36" t="s">
        <v>103</v>
      </c>
      <c r="E4387" s="37">
        <v>0.435</v>
      </c>
      <c r="F4387" s="54">
        <v>9.9364999999999988</v>
      </c>
      <c r="G4387" s="54">
        <f t="shared" si="76"/>
        <v>4.3223774999999991</v>
      </c>
      <c r="H4387" s="73"/>
      <c r="I4387" s="74"/>
      <c r="J4387" s="155">
        <v>0</v>
      </c>
    </row>
    <row r="4388" spans="1:10" ht="40.200000000000003" hidden="1" thickBot="1" x14ac:dyDescent="0.35">
      <c r="A4388" s="227"/>
      <c r="B4388" s="224"/>
      <c r="C4388" s="36" t="s">
        <v>1411</v>
      </c>
      <c r="D4388" s="36" t="s">
        <v>122</v>
      </c>
      <c r="E4388" s="37">
        <v>4.3099999999999999E-2</v>
      </c>
      <c r="F4388" s="54">
        <v>450.97107564400005</v>
      </c>
      <c r="G4388" s="54">
        <f t="shared" si="76"/>
        <v>19.436853360256404</v>
      </c>
      <c r="H4388" s="73"/>
      <c r="I4388" s="74"/>
      <c r="J4388" s="155">
        <v>0</v>
      </c>
    </row>
    <row r="4389" spans="1:10" ht="15" hidden="1" thickBot="1" x14ac:dyDescent="0.35">
      <c r="A4389" s="227"/>
      <c r="B4389" s="224"/>
      <c r="C4389" s="36" t="s">
        <v>752</v>
      </c>
      <c r="D4389" s="47" t="s">
        <v>744</v>
      </c>
      <c r="E4389" s="37">
        <v>0.33</v>
      </c>
      <c r="F4389" s="54">
        <v>20.314999999999998</v>
      </c>
      <c r="G4389" s="54">
        <f t="shared" si="76"/>
        <v>6.7039499999999999</v>
      </c>
      <c r="H4389" s="73"/>
      <c r="I4389" s="74"/>
      <c r="J4389" s="155">
        <v>0</v>
      </c>
    </row>
    <row r="4390" spans="1:10" ht="15" hidden="1" thickBot="1" x14ac:dyDescent="0.35">
      <c r="A4390" s="227"/>
      <c r="B4390" s="224"/>
      <c r="C4390" s="36" t="s">
        <v>745</v>
      </c>
      <c r="D4390" s="36" t="s">
        <v>744</v>
      </c>
      <c r="E4390" s="37">
        <v>0.16500000000000001</v>
      </c>
      <c r="F4390" s="54">
        <v>14.968499999999999</v>
      </c>
      <c r="G4390" s="54">
        <f t="shared" si="76"/>
        <v>2.4698025000000001</v>
      </c>
      <c r="H4390" s="73"/>
      <c r="I4390" s="74"/>
      <c r="J4390" s="155">
        <v>0</v>
      </c>
    </row>
    <row r="4391" spans="1:10" ht="15" hidden="1" thickBot="1" x14ac:dyDescent="0.35">
      <c r="A4391" s="227"/>
      <c r="B4391" s="224"/>
      <c r="C4391" s="36"/>
      <c r="D4391" s="36"/>
      <c r="E4391" s="37"/>
      <c r="F4391" s="54" t="s">
        <v>560</v>
      </c>
      <c r="G4391" s="54" t="str">
        <f t="shared" si="76"/>
        <v/>
      </c>
      <c r="H4391" s="73"/>
      <c r="I4391" s="74"/>
      <c r="J4391" s="155">
        <v>0</v>
      </c>
    </row>
    <row r="4392" spans="1:10" ht="15" hidden="1" thickBot="1" x14ac:dyDescent="0.35">
      <c r="A4392" s="226" t="s">
        <v>1412</v>
      </c>
      <c r="B4392" s="223" t="e">
        <f>INDEX(#REF!,MATCH(Composições!A4392,#REF!,0),2)</f>
        <v>#REF!</v>
      </c>
      <c r="C4392" s="41"/>
      <c r="D4392" s="26" t="e">
        <f>TRIM(INDEX(#REF!,MATCH(Composições!A4392,#REF!,0),1))</f>
        <v>#REF!</v>
      </c>
      <c r="E4392" s="27"/>
      <c r="F4392" s="49" t="s">
        <v>560</v>
      </c>
      <c r="G4392" s="28" t="str">
        <f t="shared" si="76"/>
        <v/>
      </c>
      <c r="H4392" s="29"/>
      <c r="I4392" s="30"/>
      <c r="J4392" s="155">
        <v>0</v>
      </c>
    </row>
    <row r="4393" spans="1:10" ht="15" hidden="1" thickBot="1" x14ac:dyDescent="0.35">
      <c r="A4393" s="227"/>
      <c r="B4393" s="224"/>
      <c r="C4393" s="32"/>
      <c r="D4393" s="32"/>
      <c r="E4393" s="33"/>
      <c r="F4393" s="54" t="s">
        <v>560</v>
      </c>
      <c r="G4393" s="54" t="str">
        <f t="shared" si="76"/>
        <v/>
      </c>
      <c r="H4393" s="73"/>
      <c r="I4393" s="74"/>
      <c r="J4393" s="155">
        <v>0</v>
      </c>
    </row>
    <row r="4394" spans="1:10" ht="15" hidden="1" thickBot="1" x14ac:dyDescent="0.35">
      <c r="A4394" s="227"/>
      <c r="B4394" s="224"/>
      <c r="C4394" s="36" t="s">
        <v>752</v>
      </c>
      <c r="D4394" s="36" t="s">
        <v>12</v>
      </c>
      <c r="E4394" s="37">
        <v>0.38</v>
      </c>
      <c r="F4394" s="54">
        <v>20.314999999999998</v>
      </c>
      <c r="G4394" s="54">
        <f t="shared" si="76"/>
        <v>7.7196999999999996</v>
      </c>
      <c r="H4394" s="39">
        <f>SUM(G4394:G4396)</f>
        <v>40.298060600068411</v>
      </c>
      <c r="I4394" s="40"/>
      <c r="J4394" s="155">
        <v>0</v>
      </c>
    </row>
    <row r="4395" spans="1:10" ht="15" hidden="1" thickBot="1" x14ac:dyDescent="0.35">
      <c r="A4395" s="227"/>
      <c r="B4395" s="224"/>
      <c r="C4395" s="36" t="s">
        <v>745</v>
      </c>
      <c r="D4395" s="36" t="s">
        <v>12</v>
      </c>
      <c r="E4395" s="37">
        <v>0.185</v>
      </c>
      <c r="F4395" s="54">
        <v>14.968499999999999</v>
      </c>
      <c r="G4395" s="54">
        <f t="shared" si="76"/>
        <v>2.7691724999999998</v>
      </c>
      <c r="H4395" s="73"/>
      <c r="I4395" s="74"/>
      <c r="J4395" s="155">
        <v>0</v>
      </c>
    </row>
    <row r="4396" spans="1:10" ht="40.200000000000003" hidden="1" thickBot="1" x14ac:dyDescent="0.35">
      <c r="A4396" s="227"/>
      <c r="B4396" s="224"/>
      <c r="C4396" s="36" t="s">
        <v>1411</v>
      </c>
      <c r="D4396" s="36" t="s">
        <v>122</v>
      </c>
      <c r="E4396" s="37">
        <v>6.6100000000000006E-2</v>
      </c>
      <c r="F4396" s="54">
        <v>450.97107564400005</v>
      </c>
      <c r="G4396" s="54">
        <f t="shared" si="76"/>
        <v>29.809188100068408</v>
      </c>
      <c r="H4396" s="73"/>
      <c r="I4396" s="74"/>
      <c r="J4396" s="155">
        <v>0</v>
      </c>
    </row>
    <row r="4397" spans="1:10" ht="15" hidden="1" thickBot="1" x14ac:dyDescent="0.35">
      <c r="A4397" s="228"/>
      <c r="B4397" s="225"/>
      <c r="C4397" s="55"/>
      <c r="D4397" s="55"/>
      <c r="E4397" s="66"/>
      <c r="F4397" s="76" t="s">
        <v>560</v>
      </c>
      <c r="G4397" s="76" t="str">
        <f t="shared" si="76"/>
        <v/>
      </c>
      <c r="H4397" s="77"/>
      <c r="I4397" s="74"/>
      <c r="J4397" s="155">
        <v>0</v>
      </c>
    </row>
    <row r="4398" spans="1:10" ht="15" hidden="1" thickBot="1" x14ac:dyDescent="0.35">
      <c r="A4398" s="226" t="s">
        <v>1413</v>
      </c>
      <c r="B4398" s="223" t="e">
        <f>INDEX(#REF!,MATCH(Composições!A4398,#REF!,0),2)</f>
        <v>#REF!</v>
      </c>
      <c r="C4398" s="41"/>
      <c r="D4398" s="26" t="e">
        <f>TRIM(INDEX(#REF!,MATCH(Composições!A4398,#REF!,0),1))</f>
        <v>#REF!</v>
      </c>
      <c r="E4398" s="27"/>
      <c r="F4398" s="49" t="s">
        <v>560</v>
      </c>
      <c r="G4398" s="28" t="str">
        <f t="shared" si="76"/>
        <v/>
      </c>
      <c r="H4398" s="29"/>
      <c r="I4398" s="30"/>
      <c r="J4398" s="155">
        <v>0</v>
      </c>
    </row>
    <row r="4399" spans="1:10" ht="15" hidden="1" thickBot="1" x14ac:dyDescent="0.35">
      <c r="A4399" s="227"/>
      <c r="B4399" s="224"/>
      <c r="C4399" s="32"/>
      <c r="D4399" s="32"/>
      <c r="E4399" s="33"/>
      <c r="F4399" s="54" t="s">
        <v>560</v>
      </c>
      <c r="G4399" s="54" t="str">
        <f t="shared" si="76"/>
        <v/>
      </c>
      <c r="H4399" s="73"/>
      <c r="I4399" s="74"/>
      <c r="J4399" s="155">
        <v>0</v>
      </c>
    </row>
    <row r="4400" spans="1:10" ht="15" hidden="1" thickBot="1" x14ac:dyDescent="0.35">
      <c r="A4400" s="227"/>
      <c r="B4400" s="224"/>
      <c r="C4400" s="36" t="s">
        <v>745</v>
      </c>
      <c r="D4400" s="36" t="s">
        <v>744</v>
      </c>
      <c r="E4400" s="37">
        <v>0.01</v>
      </c>
      <c r="F4400" s="54">
        <v>14.968499999999999</v>
      </c>
      <c r="G4400" s="54">
        <f t="shared" si="76"/>
        <v>0.14968499999999998</v>
      </c>
      <c r="H4400" s="39">
        <f>SUM(G4400:G4401)</f>
        <v>5.2828350000000004</v>
      </c>
      <c r="I4400" s="40"/>
      <c r="J4400" s="155">
        <v>0</v>
      </c>
    </row>
    <row r="4401" spans="1:10" ht="27" hidden="1" thickBot="1" x14ac:dyDescent="0.35">
      <c r="A4401" s="227"/>
      <c r="B4401" s="224"/>
      <c r="C4401" s="36" t="s">
        <v>1414</v>
      </c>
      <c r="D4401" s="36" t="s">
        <v>95</v>
      </c>
      <c r="E4401" s="37">
        <v>1.1000000000000001</v>
      </c>
      <c r="F4401" s="54">
        <v>4.6665000000000001</v>
      </c>
      <c r="G4401" s="54">
        <f t="shared" si="76"/>
        <v>5.1331500000000005</v>
      </c>
      <c r="H4401" s="73"/>
      <c r="I4401" s="74"/>
      <c r="J4401" s="155">
        <v>0</v>
      </c>
    </row>
    <row r="4402" spans="1:10" ht="15" hidden="1" thickBot="1" x14ac:dyDescent="0.35">
      <c r="A4402" s="228"/>
      <c r="B4402" s="225"/>
      <c r="C4402" s="55"/>
      <c r="D4402" s="55"/>
      <c r="E4402" s="66"/>
      <c r="F4402" s="76" t="s">
        <v>560</v>
      </c>
      <c r="G4402" s="76" t="str">
        <f t="shared" si="76"/>
        <v/>
      </c>
      <c r="H4402" s="77"/>
      <c r="I4402" s="74"/>
      <c r="J4402" s="155">
        <v>0</v>
      </c>
    </row>
    <row r="4403" spans="1:10" ht="15" hidden="1" thickBot="1" x14ac:dyDescent="0.35">
      <c r="A4403" s="226" t="s">
        <v>1415</v>
      </c>
      <c r="B4403" s="223" t="e">
        <f>INDEX(#REF!,MATCH(Composições!A4403,#REF!,0),2)</f>
        <v>#REF!</v>
      </c>
      <c r="C4403" s="41"/>
      <c r="D4403" s="26" t="e">
        <f>TRIM(INDEX(#REF!,MATCH(Composições!A4403,#REF!,0),1))</f>
        <v>#REF!</v>
      </c>
      <c r="E4403" s="27"/>
      <c r="F4403" s="49" t="s">
        <v>560</v>
      </c>
      <c r="G4403" s="28" t="str">
        <f t="shared" si="76"/>
        <v/>
      </c>
      <c r="H4403" s="29"/>
      <c r="I4403" s="30"/>
      <c r="J4403" s="155">
        <v>0</v>
      </c>
    </row>
    <row r="4404" spans="1:10" ht="15" hidden="1" thickBot="1" x14ac:dyDescent="0.35">
      <c r="A4404" s="227"/>
      <c r="B4404" s="224"/>
      <c r="C4404" s="32"/>
      <c r="D4404" s="32"/>
      <c r="E4404" s="33"/>
      <c r="F4404" s="54" t="s">
        <v>560</v>
      </c>
      <c r="G4404" s="54" t="str">
        <f t="shared" si="76"/>
        <v/>
      </c>
      <c r="H4404" s="73"/>
      <c r="I4404" s="74"/>
      <c r="J4404" s="155">
        <v>0</v>
      </c>
    </row>
    <row r="4405" spans="1:10" ht="15" hidden="1" thickBot="1" x14ac:dyDescent="0.35">
      <c r="A4405" s="227"/>
      <c r="B4405" s="224"/>
      <c r="C4405" s="36" t="s">
        <v>745</v>
      </c>
      <c r="D4405" s="36" t="s">
        <v>744</v>
      </c>
      <c r="E4405" s="37">
        <v>0.05</v>
      </c>
      <c r="F4405" s="54">
        <v>14.968499999999999</v>
      </c>
      <c r="G4405" s="54">
        <f t="shared" si="76"/>
        <v>0.74842500000000001</v>
      </c>
      <c r="H4405" s="39">
        <f>SUM(G4405:G4406)</f>
        <v>10.039349999999999</v>
      </c>
      <c r="I4405" s="40"/>
      <c r="J4405" s="155">
        <v>0</v>
      </c>
    </row>
    <row r="4406" spans="1:10" ht="27" hidden="1" thickBot="1" x14ac:dyDescent="0.35">
      <c r="A4406" s="227"/>
      <c r="B4406" s="224"/>
      <c r="C4406" s="36" t="s">
        <v>1416</v>
      </c>
      <c r="D4406" s="36" t="s">
        <v>95</v>
      </c>
      <c r="E4406" s="37">
        <v>1.05</v>
      </c>
      <c r="F4406" s="54">
        <v>8.8484999999999996</v>
      </c>
      <c r="G4406" s="54">
        <f t="shared" si="76"/>
        <v>9.2909249999999997</v>
      </c>
      <c r="H4406" s="73"/>
      <c r="I4406" s="74"/>
      <c r="J4406" s="155">
        <v>0</v>
      </c>
    </row>
    <row r="4407" spans="1:10" ht="15" hidden="1" thickBot="1" x14ac:dyDescent="0.35">
      <c r="A4407" s="228"/>
      <c r="B4407" s="225"/>
      <c r="C4407" s="55"/>
      <c r="D4407" s="55"/>
      <c r="E4407" s="66"/>
      <c r="F4407" s="76" t="s">
        <v>560</v>
      </c>
      <c r="G4407" s="76" t="str">
        <f t="shared" si="76"/>
        <v/>
      </c>
      <c r="H4407" s="77"/>
      <c r="I4407" s="74"/>
      <c r="J4407" s="155">
        <v>0</v>
      </c>
    </row>
    <row r="4408" spans="1:10" ht="15" hidden="1" thickBot="1" x14ac:dyDescent="0.35">
      <c r="A4408" s="226" t="s">
        <v>1417</v>
      </c>
      <c r="B4408" s="223" t="e">
        <f>INDEX(#REF!,MATCH(Composições!A4408,#REF!,0),2)</f>
        <v>#REF!</v>
      </c>
      <c r="C4408" s="41"/>
      <c r="D4408" s="26" t="e">
        <f>TRIM(INDEX(#REF!,MATCH(Composições!A4408,#REF!,0),1))</f>
        <v>#REF!</v>
      </c>
      <c r="E4408" s="27"/>
      <c r="F4408" s="49" t="s">
        <v>560</v>
      </c>
      <c r="G4408" s="28" t="str">
        <f t="shared" si="76"/>
        <v/>
      </c>
      <c r="H4408" s="29"/>
      <c r="I4408" s="30"/>
      <c r="J4408" s="155">
        <v>0</v>
      </c>
    </row>
    <row r="4409" spans="1:10" ht="15" hidden="1" thickBot="1" x14ac:dyDescent="0.35">
      <c r="A4409" s="227"/>
      <c r="B4409" s="224"/>
      <c r="C4409" s="32"/>
      <c r="D4409" s="32"/>
      <c r="E4409" s="33"/>
      <c r="F4409" s="54" t="s">
        <v>560</v>
      </c>
      <c r="G4409" s="54" t="str">
        <f t="shared" si="76"/>
        <v/>
      </c>
      <c r="H4409" s="73"/>
      <c r="I4409" s="74"/>
      <c r="J4409" s="155">
        <v>0</v>
      </c>
    </row>
    <row r="4410" spans="1:10" ht="15" hidden="1" thickBot="1" x14ac:dyDescent="0.35">
      <c r="A4410" s="227"/>
      <c r="B4410" s="224"/>
      <c r="C4410" s="36" t="s">
        <v>752</v>
      </c>
      <c r="D4410" s="36" t="s">
        <v>12</v>
      </c>
      <c r="E4410" s="37">
        <v>0.28999999999999998</v>
      </c>
      <c r="F4410" s="54">
        <v>20.314999999999998</v>
      </c>
      <c r="G4410" s="54">
        <f t="shared" si="76"/>
        <v>5.8913499999999992</v>
      </c>
      <c r="H4410" s="39">
        <f>SUM(G4410:G4412)</f>
        <v>21.628639854233995</v>
      </c>
      <c r="I4410" s="40"/>
      <c r="J4410" s="155">
        <v>0</v>
      </c>
    </row>
    <row r="4411" spans="1:10" ht="15" hidden="1" thickBot="1" x14ac:dyDescent="0.35">
      <c r="A4411" s="227"/>
      <c r="B4411" s="224"/>
      <c r="C4411" s="36" t="s">
        <v>745</v>
      </c>
      <c r="D4411" s="36" t="s">
        <v>12</v>
      </c>
      <c r="E4411" s="37">
        <v>0.14499999999999999</v>
      </c>
      <c r="F4411" s="54">
        <v>14.968499999999999</v>
      </c>
      <c r="G4411" s="54">
        <f t="shared" si="76"/>
        <v>2.1704324999999995</v>
      </c>
      <c r="H4411" s="73"/>
      <c r="I4411" s="74"/>
      <c r="J4411" s="155">
        <v>0</v>
      </c>
    </row>
    <row r="4412" spans="1:10" ht="53.4" hidden="1" thickBot="1" x14ac:dyDescent="0.35">
      <c r="A4412" s="227"/>
      <c r="B4412" s="224"/>
      <c r="C4412" s="36" t="s">
        <v>157</v>
      </c>
      <c r="D4412" s="36" t="s">
        <v>122</v>
      </c>
      <c r="E4412" s="37">
        <v>3.1E-2</v>
      </c>
      <c r="F4412" s="54">
        <v>437.64055981399991</v>
      </c>
      <c r="G4412" s="54">
        <f t="shared" si="76"/>
        <v>13.566857354233997</v>
      </c>
      <c r="H4412" s="73"/>
      <c r="I4412" s="74"/>
      <c r="J4412" s="155">
        <v>0</v>
      </c>
    </row>
    <row r="4413" spans="1:10" ht="15" hidden="1" thickBot="1" x14ac:dyDescent="0.35">
      <c r="A4413" s="228"/>
      <c r="B4413" s="225"/>
      <c r="C4413" s="55"/>
      <c r="D4413" s="55"/>
      <c r="E4413" s="66"/>
      <c r="F4413" s="76" t="s">
        <v>560</v>
      </c>
      <c r="G4413" s="76" t="str">
        <f t="shared" si="76"/>
        <v/>
      </c>
      <c r="H4413" s="77"/>
      <c r="I4413" s="74"/>
      <c r="J4413" s="155">
        <v>0</v>
      </c>
    </row>
    <row r="4414" spans="1:10" ht="15" hidden="1" thickBot="1" x14ac:dyDescent="0.35">
      <c r="A4414" s="226" t="s">
        <v>1418</v>
      </c>
      <c r="B4414" s="223" t="e">
        <f>INDEX(#REF!,MATCH(Composições!A4414,#REF!,0),2)</f>
        <v>#REF!</v>
      </c>
      <c r="C4414" s="41"/>
      <c r="D4414" s="26" t="e">
        <f>TRIM(INDEX(#REF!,MATCH(Composições!A4414,#REF!,0),1))</f>
        <v>#REF!</v>
      </c>
      <c r="E4414" s="27"/>
      <c r="F4414" s="49" t="s">
        <v>560</v>
      </c>
      <c r="G4414" s="28" t="str">
        <f t="shared" si="76"/>
        <v/>
      </c>
      <c r="H4414" s="29"/>
      <c r="I4414" s="30"/>
      <c r="J4414" s="155">
        <v>0</v>
      </c>
    </row>
    <row r="4415" spans="1:10" ht="15" hidden="1" thickBot="1" x14ac:dyDescent="0.35">
      <c r="A4415" s="227"/>
      <c r="B4415" s="224"/>
      <c r="C4415" s="32"/>
      <c r="D4415" s="32"/>
      <c r="E4415" s="33"/>
      <c r="F4415" s="54" t="s">
        <v>560</v>
      </c>
      <c r="G4415" s="54" t="str">
        <f t="shared" si="76"/>
        <v/>
      </c>
      <c r="H4415" s="73"/>
      <c r="I4415" s="74"/>
      <c r="J4415" s="155">
        <v>0</v>
      </c>
    </row>
    <row r="4416" spans="1:10" ht="15" hidden="1" thickBot="1" x14ac:dyDescent="0.35">
      <c r="A4416" s="227"/>
      <c r="B4416" s="224"/>
      <c r="C4416" s="36" t="s">
        <v>1059</v>
      </c>
      <c r="D4416" s="36" t="s">
        <v>1035</v>
      </c>
      <c r="E4416" s="37">
        <v>1.04</v>
      </c>
      <c r="F4416" s="54">
        <v>1.2749999999999999</v>
      </c>
      <c r="G4416" s="54">
        <f t="shared" si="76"/>
        <v>1.3259999999999998</v>
      </c>
      <c r="H4416" s="39">
        <f>SUM(G4416:G4420)</f>
        <v>61.863191628249993</v>
      </c>
      <c r="I4416" s="40"/>
      <c r="J4416" s="155">
        <v>0</v>
      </c>
    </row>
    <row r="4417" spans="1:10" ht="27" hidden="1" thickBot="1" x14ac:dyDescent="0.35">
      <c r="A4417" s="227"/>
      <c r="B4417" s="224"/>
      <c r="C4417" s="36" t="s">
        <v>1060</v>
      </c>
      <c r="D4417" s="36" t="s">
        <v>122</v>
      </c>
      <c r="E4417" s="37">
        <v>4.3999999999999997E-2</v>
      </c>
      <c r="F4417" s="54">
        <v>585.03385518749997</v>
      </c>
      <c r="G4417" s="54">
        <f t="shared" si="76"/>
        <v>25.741489628249997</v>
      </c>
      <c r="H4417" s="73"/>
      <c r="I4417" s="74"/>
      <c r="J4417" s="155">
        <v>0</v>
      </c>
    </row>
    <row r="4418" spans="1:10" ht="15" hidden="1" thickBot="1" x14ac:dyDescent="0.35">
      <c r="A4418" s="227"/>
      <c r="B4418" s="224"/>
      <c r="C4418" s="36" t="s">
        <v>752</v>
      </c>
      <c r="D4418" s="36" t="s">
        <v>744</v>
      </c>
      <c r="E4418" s="37">
        <v>0.89900000000000002</v>
      </c>
      <c r="F4418" s="54">
        <v>20.314999999999998</v>
      </c>
      <c r="G4418" s="54">
        <f t="shared" si="76"/>
        <v>18.263185</v>
      </c>
      <c r="H4418" s="73"/>
      <c r="I4418" s="74"/>
      <c r="J4418" s="155">
        <v>0</v>
      </c>
    </row>
    <row r="4419" spans="1:10" ht="15" hidden="1" thickBot="1" x14ac:dyDescent="0.35">
      <c r="A4419" s="227"/>
      <c r="B4419" s="224"/>
      <c r="C4419" s="36" t="s">
        <v>745</v>
      </c>
      <c r="D4419" s="36" t="s">
        <v>744</v>
      </c>
      <c r="E4419" s="37">
        <v>0.182</v>
      </c>
      <c r="F4419" s="54">
        <v>14.968499999999999</v>
      </c>
      <c r="G4419" s="54">
        <f t="shared" si="76"/>
        <v>2.7242669999999998</v>
      </c>
      <c r="H4419" s="73"/>
      <c r="I4419" s="74"/>
      <c r="J4419" s="155">
        <v>0</v>
      </c>
    </row>
    <row r="4420" spans="1:10" ht="40.200000000000003" hidden="1" thickBot="1" x14ac:dyDescent="0.35">
      <c r="A4420" s="227"/>
      <c r="B4420" s="224"/>
      <c r="C4420" s="36" t="s">
        <v>1055</v>
      </c>
      <c r="D4420" s="36" t="s">
        <v>939</v>
      </c>
      <c r="E4420" s="37">
        <f>0.15*2.5*(6/2)</f>
        <v>1.125</v>
      </c>
      <c r="F4420" s="54">
        <v>12.273999999999999</v>
      </c>
      <c r="G4420" s="54">
        <f t="shared" si="76"/>
        <v>13.808249999999999</v>
      </c>
      <c r="H4420" s="73"/>
      <c r="I4420" s="74"/>
      <c r="J4420" s="155">
        <v>0</v>
      </c>
    </row>
    <row r="4421" spans="1:10" ht="15" hidden="1" thickBot="1" x14ac:dyDescent="0.35">
      <c r="A4421" s="227"/>
      <c r="B4421" s="224"/>
      <c r="C4421" s="36"/>
      <c r="D4421" s="36"/>
      <c r="E4421" s="37"/>
      <c r="F4421" s="54" t="s">
        <v>560</v>
      </c>
      <c r="G4421" s="54" t="str">
        <f t="shared" si="76"/>
        <v/>
      </c>
      <c r="H4421" s="73"/>
      <c r="I4421" s="74"/>
      <c r="J4421" s="155">
        <v>0</v>
      </c>
    </row>
    <row r="4422" spans="1:10" ht="15" hidden="1" thickBot="1" x14ac:dyDescent="0.35">
      <c r="A4422" s="226" t="s">
        <v>1419</v>
      </c>
      <c r="B4422" s="223" t="e">
        <f>INDEX(#REF!,MATCH(Composições!A4422,#REF!,0),2)</f>
        <v>#REF!</v>
      </c>
      <c r="C4422" s="41"/>
      <c r="D4422" s="26" t="e">
        <f>TRIM(INDEX(#REF!,MATCH(Composições!A4422,#REF!,0),1))</f>
        <v>#REF!</v>
      </c>
      <c r="E4422" s="27"/>
      <c r="F4422" s="49" t="s">
        <v>560</v>
      </c>
      <c r="G4422" s="28" t="str">
        <f t="shared" si="76"/>
        <v/>
      </c>
      <c r="H4422" s="29"/>
      <c r="I4422" s="30"/>
      <c r="J4422" s="155">
        <v>0</v>
      </c>
    </row>
    <row r="4423" spans="1:10" ht="15" hidden="1" thickBot="1" x14ac:dyDescent="0.35">
      <c r="A4423" s="227"/>
      <c r="B4423" s="224"/>
      <c r="C4423" s="32"/>
      <c r="D4423" s="32"/>
      <c r="E4423" s="33"/>
      <c r="F4423" s="54" t="s">
        <v>560</v>
      </c>
      <c r="G4423" s="54" t="str">
        <f t="shared" si="76"/>
        <v/>
      </c>
      <c r="H4423" s="73"/>
      <c r="I4423" s="74"/>
      <c r="J4423" s="155">
        <v>0</v>
      </c>
    </row>
    <row r="4424" spans="1:10" ht="15" hidden="1" thickBot="1" x14ac:dyDescent="0.35">
      <c r="A4424" s="227"/>
      <c r="B4424" s="224"/>
      <c r="C4424" s="36" t="s">
        <v>1420</v>
      </c>
      <c r="D4424" s="36" t="s">
        <v>103</v>
      </c>
      <c r="E4424" s="37">
        <v>0.32569999999999999</v>
      </c>
      <c r="F4424" s="54" t="s">
        <v>560</v>
      </c>
      <c r="G4424" s="54" t="str">
        <f t="shared" si="76"/>
        <v/>
      </c>
      <c r="H4424" s="39">
        <f>SUM(G4424:G4425)</f>
        <v>9.581778850000001</v>
      </c>
      <c r="I4424" s="40"/>
      <c r="J4424" s="155">
        <v>0</v>
      </c>
    </row>
    <row r="4425" spans="1:10" ht="15" hidden="1" thickBot="1" x14ac:dyDescent="0.35">
      <c r="A4425" s="227"/>
      <c r="B4425" s="224"/>
      <c r="C4425" s="36" t="s">
        <v>1138</v>
      </c>
      <c r="D4425" s="36" t="s">
        <v>744</v>
      </c>
      <c r="E4425" s="37">
        <v>0.45290000000000002</v>
      </c>
      <c r="F4425" s="54">
        <v>21.156500000000001</v>
      </c>
      <c r="G4425" s="54">
        <f t="shared" si="76"/>
        <v>9.581778850000001</v>
      </c>
      <c r="H4425" s="73"/>
      <c r="I4425" s="74"/>
      <c r="J4425" s="155">
        <v>0</v>
      </c>
    </row>
    <row r="4426" spans="1:10" ht="15" hidden="1" thickBot="1" x14ac:dyDescent="0.35">
      <c r="A4426" s="228"/>
      <c r="B4426" s="225"/>
      <c r="C4426" s="55"/>
      <c r="D4426" s="55"/>
      <c r="E4426" s="66"/>
      <c r="F4426" s="76" t="s">
        <v>560</v>
      </c>
      <c r="G4426" s="76" t="str">
        <f t="shared" si="76"/>
        <v/>
      </c>
      <c r="H4426" s="77"/>
      <c r="I4426" s="74"/>
      <c r="J4426" s="155">
        <v>0</v>
      </c>
    </row>
    <row r="4427" spans="1:10" ht="15" thickBot="1" x14ac:dyDescent="0.35">
      <c r="A4427" s="226" t="s">
        <v>1421</v>
      </c>
      <c r="B4427" s="223" t="str">
        <f>INDEX(Orçamentária!A:B,MATCH(Composições!A4427,Orçamentária!A:A,0),2)</f>
        <v>Camada Drenante para Impermeabilização</v>
      </c>
      <c r="C4427" s="41"/>
      <c r="D4427" s="26" t="str">
        <f>TRIM(INDEX(Orçamentária!C:C,MATCH(Composições!A4427,Orçamentária!A:A,0),1))</f>
        <v>m2</v>
      </c>
      <c r="E4427" s="27"/>
      <c r="F4427" s="49" t="s">
        <v>560</v>
      </c>
      <c r="G4427" s="28" t="str">
        <f t="shared" si="76"/>
        <v/>
      </c>
      <c r="H4427" s="29"/>
      <c r="I4427" s="30"/>
      <c r="J4427" s="155">
        <v>80.16</v>
      </c>
    </row>
    <row r="4428" spans="1:10" x14ac:dyDescent="0.3">
      <c r="A4428" s="227"/>
      <c r="B4428" s="224"/>
      <c r="C4428" s="32"/>
      <c r="D4428" s="32"/>
      <c r="E4428" s="33"/>
      <c r="F4428" s="54" t="s">
        <v>560</v>
      </c>
      <c r="G4428" s="54" t="str">
        <f t="shared" si="76"/>
        <v/>
      </c>
      <c r="H4428" s="73"/>
      <c r="I4428" s="74"/>
      <c r="J4428" s="155">
        <v>80.16</v>
      </c>
    </row>
    <row r="4429" spans="1:10" x14ac:dyDescent="0.3">
      <c r="A4429" s="227"/>
      <c r="B4429" s="224"/>
      <c r="C4429" s="36" t="s">
        <v>745</v>
      </c>
      <c r="D4429" s="36" t="s">
        <v>744</v>
      </c>
      <c r="E4429" s="37">
        <v>0.02</v>
      </c>
      <c r="F4429" s="54">
        <v>14.968499999999999</v>
      </c>
      <c r="G4429" s="54">
        <f t="shared" si="76"/>
        <v>0.29936999999999997</v>
      </c>
      <c r="H4429" s="39">
        <f>SUM(G4429:G4431)</f>
        <v>53.816520000000004</v>
      </c>
      <c r="I4429" s="40"/>
      <c r="J4429" s="155">
        <v>80.16</v>
      </c>
    </row>
    <row r="4430" spans="1:10" ht="26.4" x14ac:dyDescent="0.3">
      <c r="A4430" s="227"/>
      <c r="B4430" s="224"/>
      <c r="C4430" s="36" t="s">
        <v>1422</v>
      </c>
      <c r="D4430" s="36" t="s">
        <v>95</v>
      </c>
      <c r="E4430" s="37">
        <v>1.05</v>
      </c>
      <c r="F4430" s="54">
        <v>46.08</v>
      </c>
      <c r="G4430" s="54">
        <f t="shared" si="76"/>
        <v>48.384</v>
      </c>
      <c r="H4430" s="73"/>
      <c r="I4430" s="74"/>
      <c r="J4430" s="155">
        <v>80.16</v>
      </c>
    </row>
    <row r="4431" spans="1:10" ht="26.4" x14ac:dyDescent="0.3">
      <c r="A4431" s="227"/>
      <c r="B4431" s="224"/>
      <c r="C4431" s="36" t="s">
        <v>1414</v>
      </c>
      <c r="D4431" s="36" t="s">
        <v>95</v>
      </c>
      <c r="E4431" s="37">
        <v>1.1000000000000001</v>
      </c>
      <c r="F4431" s="54">
        <v>4.6665000000000001</v>
      </c>
      <c r="G4431" s="54">
        <f t="shared" si="76"/>
        <v>5.1331500000000005</v>
      </c>
      <c r="H4431" s="73"/>
      <c r="I4431" s="74"/>
      <c r="J4431" s="155">
        <v>80.16</v>
      </c>
    </row>
    <row r="4432" spans="1:10" ht="15" thickBot="1" x14ac:dyDescent="0.35">
      <c r="A4432" s="228"/>
      <c r="B4432" s="225"/>
      <c r="C4432" s="55"/>
      <c r="D4432" s="55"/>
      <c r="E4432" s="66"/>
      <c r="F4432" s="76" t="s">
        <v>560</v>
      </c>
      <c r="G4432" s="76" t="str">
        <f t="shared" si="76"/>
        <v/>
      </c>
      <c r="H4432" s="77"/>
      <c r="I4432" s="74"/>
      <c r="J4432" s="155">
        <v>80.16</v>
      </c>
    </row>
    <row r="4433" spans="1:10" ht="15" hidden="1" thickBot="1" x14ac:dyDescent="0.35">
      <c r="A4433" s="226" t="s">
        <v>1423</v>
      </c>
      <c r="B4433" s="223" t="e">
        <f>INDEX(#REF!,MATCH(Composições!A4433,#REF!,0),2)</f>
        <v>#REF!</v>
      </c>
      <c r="C4433" s="41"/>
      <c r="D4433" s="26" t="e">
        <f>TRIM(INDEX(#REF!,MATCH(Composições!A4433,#REF!,0),1))</f>
        <v>#REF!</v>
      </c>
      <c r="E4433" s="27"/>
      <c r="F4433" s="49" t="s">
        <v>560</v>
      </c>
      <c r="G4433" s="28" t="str">
        <f t="shared" si="76"/>
        <v/>
      </c>
      <c r="H4433" s="29"/>
      <c r="I4433" s="30"/>
      <c r="J4433" s="155">
        <v>0</v>
      </c>
    </row>
    <row r="4434" spans="1:10" ht="15" hidden="1" thickBot="1" x14ac:dyDescent="0.35">
      <c r="A4434" s="227"/>
      <c r="B4434" s="224"/>
      <c r="C4434" s="32"/>
      <c r="D4434" s="32"/>
      <c r="E4434" s="33"/>
      <c r="F4434" s="54" t="s">
        <v>560</v>
      </c>
      <c r="G4434" s="54" t="str">
        <f t="shared" si="76"/>
        <v/>
      </c>
      <c r="H4434" s="73"/>
      <c r="I4434" s="74"/>
      <c r="J4434" s="155">
        <v>0</v>
      </c>
    </row>
    <row r="4435" spans="1:10" ht="27" hidden="1" thickBot="1" x14ac:dyDescent="0.35">
      <c r="A4435" s="227"/>
      <c r="B4435" s="224"/>
      <c r="C4435" s="36" t="s">
        <v>1106</v>
      </c>
      <c r="D4435" s="47" t="s">
        <v>1117</v>
      </c>
      <c r="E4435" s="37">
        <v>0.161</v>
      </c>
      <c r="F4435" s="54">
        <v>27.352999999999998</v>
      </c>
      <c r="G4435" s="54">
        <f t="shared" si="76"/>
        <v>4.4038329999999997</v>
      </c>
      <c r="H4435" s="39">
        <f>SUM(G4435:G4443)</f>
        <v>144.13682220000001</v>
      </c>
      <c r="I4435" s="40"/>
      <c r="J4435" s="155">
        <v>0</v>
      </c>
    </row>
    <row r="4436" spans="1:10" ht="15" hidden="1" thickBot="1" x14ac:dyDescent="0.35">
      <c r="A4436" s="227"/>
      <c r="B4436" s="224"/>
      <c r="C4436" s="36" t="s">
        <v>1424</v>
      </c>
      <c r="D4436" s="36" t="s">
        <v>939</v>
      </c>
      <c r="E4436" s="37">
        <v>2.5000000000000001E-2</v>
      </c>
      <c r="F4436" s="54">
        <v>16.914999999999999</v>
      </c>
      <c r="G4436" s="54">
        <f t="shared" si="76"/>
        <v>0.422875</v>
      </c>
      <c r="H4436" s="73"/>
      <c r="I4436" s="74"/>
      <c r="J4436" s="155">
        <v>0</v>
      </c>
    </row>
    <row r="4437" spans="1:10" ht="27" hidden="1" thickBot="1" x14ac:dyDescent="0.35">
      <c r="A4437" s="227"/>
      <c r="B4437" s="224"/>
      <c r="C4437" s="36" t="s">
        <v>1425</v>
      </c>
      <c r="D4437" s="36" t="s">
        <v>939</v>
      </c>
      <c r="E4437" s="37">
        <v>4.8999999999999998E-3</v>
      </c>
      <c r="F4437" s="54">
        <v>55.929999999999993</v>
      </c>
      <c r="G4437" s="54">
        <f t="shared" si="76"/>
        <v>0.27405699999999994</v>
      </c>
      <c r="H4437" s="73"/>
      <c r="I4437" s="74"/>
      <c r="J4437" s="155">
        <v>0</v>
      </c>
    </row>
    <row r="4438" spans="1:10" ht="15" hidden="1" thickBot="1" x14ac:dyDescent="0.35">
      <c r="A4438" s="227"/>
      <c r="B4438" s="224"/>
      <c r="C4438" s="36" t="s">
        <v>1426</v>
      </c>
      <c r="D4438" s="36" t="s">
        <v>939</v>
      </c>
      <c r="E4438" s="37">
        <v>0.18</v>
      </c>
      <c r="F4438" s="54">
        <v>82.228999999999999</v>
      </c>
      <c r="G4438" s="54">
        <f t="shared" si="76"/>
        <v>14.801219999999999</v>
      </c>
      <c r="H4438" s="73"/>
      <c r="I4438" s="74"/>
      <c r="J4438" s="155">
        <v>0</v>
      </c>
    </row>
    <row r="4439" spans="1:10" ht="27" hidden="1" thickBot="1" x14ac:dyDescent="0.35">
      <c r="A4439" s="227"/>
      <c r="B4439" s="224"/>
      <c r="C4439" s="36" t="s">
        <v>1427</v>
      </c>
      <c r="D4439" s="36" t="s">
        <v>515</v>
      </c>
      <c r="E4439" s="37">
        <v>1.05</v>
      </c>
      <c r="F4439" s="54">
        <v>97.766999999999996</v>
      </c>
      <c r="G4439" s="54">
        <f t="shared" si="76"/>
        <v>102.65535</v>
      </c>
      <c r="H4439" s="73"/>
      <c r="I4439" s="74"/>
      <c r="J4439" s="155">
        <v>0</v>
      </c>
    </row>
    <row r="4440" spans="1:10" ht="15" hidden="1" thickBot="1" x14ac:dyDescent="0.35">
      <c r="A4440" s="227"/>
      <c r="B4440" s="224"/>
      <c r="C4440" s="36" t="s">
        <v>745</v>
      </c>
      <c r="D4440" s="36" t="s">
        <v>744</v>
      </c>
      <c r="E4440" s="37">
        <v>0.63300000000000001</v>
      </c>
      <c r="F4440" s="54">
        <v>14.968499999999999</v>
      </c>
      <c r="G4440" s="54">
        <f t="shared" si="76"/>
        <v>9.4750604999999997</v>
      </c>
      <c r="H4440" s="73"/>
      <c r="I4440" s="74"/>
      <c r="J4440" s="155">
        <v>0</v>
      </c>
    </row>
    <row r="4441" spans="1:10" ht="15" hidden="1" thickBot="1" x14ac:dyDescent="0.35">
      <c r="A4441" s="227"/>
      <c r="B4441" s="224"/>
      <c r="C4441" s="36" t="s">
        <v>1368</v>
      </c>
      <c r="D4441" s="36" t="s">
        <v>744</v>
      </c>
      <c r="E4441" s="37">
        <v>0.53900000000000003</v>
      </c>
      <c r="F4441" s="54">
        <v>21.496499999999997</v>
      </c>
      <c r="G4441" s="54">
        <f t="shared" si="76"/>
        <v>11.586613499999999</v>
      </c>
      <c r="H4441" s="73"/>
      <c r="I4441" s="74"/>
      <c r="J4441" s="155">
        <v>0</v>
      </c>
    </row>
    <row r="4442" spans="1:10" ht="27" hidden="1" thickBot="1" x14ac:dyDescent="0.35">
      <c r="A4442" s="227"/>
      <c r="B4442" s="224"/>
      <c r="C4442" s="36" t="s">
        <v>1369</v>
      </c>
      <c r="D4442" s="36" t="s">
        <v>983</v>
      </c>
      <c r="E4442" s="37">
        <v>1.32E-2</v>
      </c>
      <c r="F4442" s="54">
        <v>16.8385</v>
      </c>
      <c r="G4442" s="54">
        <f t="shared" si="76"/>
        <v>0.2222682</v>
      </c>
      <c r="H4442" s="73"/>
      <c r="I4442" s="74"/>
      <c r="J4442" s="155">
        <v>0</v>
      </c>
    </row>
    <row r="4443" spans="1:10" ht="27" hidden="1" thickBot="1" x14ac:dyDescent="0.35">
      <c r="A4443" s="227"/>
      <c r="B4443" s="224"/>
      <c r="C4443" s="36" t="s">
        <v>1370</v>
      </c>
      <c r="D4443" s="36" t="s">
        <v>985</v>
      </c>
      <c r="E4443" s="37">
        <v>1.83E-2</v>
      </c>
      <c r="F4443" s="54">
        <v>16.149999999999999</v>
      </c>
      <c r="G4443" s="54">
        <f t="shared" si="76"/>
        <v>0.295545</v>
      </c>
      <c r="H4443" s="73"/>
      <c r="I4443" s="74"/>
      <c r="J4443" s="155">
        <v>0</v>
      </c>
    </row>
    <row r="4444" spans="1:10" ht="15" hidden="1" thickBot="1" x14ac:dyDescent="0.35">
      <c r="A4444" s="228"/>
      <c r="B4444" s="225"/>
      <c r="C4444" s="55"/>
      <c r="D4444" s="55"/>
      <c r="E4444" s="66"/>
      <c r="F4444" s="76" t="s">
        <v>560</v>
      </c>
      <c r="G4444" s="76" t="str">
        <f t="shared" si="76"/>
        <v/>
      </c>
      <c r="H4444" s="77"/>
      <c r="I4444" s="74"/>
      <c r="J4444" s="155">
        <v>0</v>
      </c>
    </row>
    <row r="4445" spans="1:10" ht="15" hidden="1" thickBot="1" x14ac:dyDescent="0.35">
      <c r="A4445" s="226" t="s">
        <v>1428</v>
      </c>
      <c r="B4445" s="223" t="e">
        <f>INDEX(#REF!,MATCH(Composições!A4445,#REF!,0),2)</f>
        <v>#REF!</v>
      </c>
      <c r="C4445" s="41"/>
      <c r="D4445" s="26" t="e">
        <f>TRIM(INDEX(#REF!,MATCH(Composições!A4445,#REF!,0),1))</f>
        <v>#REF!</v>
      </c>
      <c r="E4445" s="27"/>
      <c r="F4445" s="49" t="s">
        <v>560</v>
      </c>
      <c r="G4445" s="28" t="str">
        <f t="shared" si="76"/>
        <v/>
      </c>
      <c r="H4445" s="29"/>
      <c r="I4445" s="30"/>
      <c r="J4445" s="155">
        <v>0</v>
      </c>
    </row>
    <row r="4446" spans="1:10" ht="15" hidden="1" thickBot="1" x14ac:dyDescent="0.35">
      <c r="A4446" s="227"/>
      <c r="B4446" s="224"/>
      <c r="C4446" s="32"/>
      <c r="D4446" s="32"/>
      <c r="E4446" s="33"/>
      <c r="F4446" s="54" t="s">
        <v>560</v>
      </c>
      <c r="G4446" s="54" t="str">
        <f t="shared" si="76"/>
        <v/>
      </c>
      <c r="H4446" s="73"/>
      <c r="I4446" s="74"/>
      <c r="J4446" s="155">
        <v>0</v>
      </c>
    </row>
    <row r="4447" spans="1:10" ht="27" hidden="1" thickBot="1" x14ac:dyDescent="0.35">
      <c r="A4447" s="227"/>
      <c r="B4447" s="224"/>
      <c r="C4447" s="36" t="s">
        <v>1106</v>
      </c>
      <c r="D4447" s="47" t="s">
        <v>1117</v>
      </c>
      <c r="E4447" s="37">
        <f>0.198*2</f>
        <v>0.39600000000000002</v>
      </c>
      <c r="F4447" s="54">
        <v>27.352999999999998</v>
      </c>
      <c r="G4447" s="54">
        <f t="shared" ref="G4447:G4510" si="77">IF(ISNUMBER(F4447),E4447*F4447,"")</f>
        <v>10.831788</v>
      </c>
      <c r="H4447" s="39">
        <f>SUM(G4447:G4455)</f>
        <v>141.08261070000003</v>
      </c>
      <c r="I4447" s="40"/>
      <c r="J4447" s="155">
        <v>0</v>
      </c>
    </row>
    <row r="4448" spans="1:10" ht="15" hidden="1" thickBot="1" x14ac:dyDescent="0.35">
      <c r="A4448" s="227"/>
      <c r="B4448" s="224"/>
      <c r="C4448" s="36" t="s">
        <v>1424</v>
      </c>
      <c r="D4448" s="36" t="s">
        <v>939</v>
      </c>
      <c r="E4448" s="37">
        <f>0.006*2</f>
        <v>1.2E-2</v>
      </c>
      <c r="F4448" s="54">
        <v>16.914999999999999</v>
      </c>
      <c r="G4448" s="54">
        <f t="shared" si="77"/>
        <v>0.20297999999999999</v>
      </c>
      <c r="H4448" s="73"/>
      <c r="I4448" s="74"/>
      <c r="J4448" s="155">
        <v>0</v>
      </c>
    </row>
    <row r="4449" spans="1:10" ht="27" hidden="1" thickBot="1" x14ac:dyDescent="0.35">
      <c r="A4449" s="227"/>
      <c r="B4449" s="224"/>
      <c r="C4449" s="36" t="s">
        <v>1425</v>
      </c>
      <c r="D4449" s="36" t="s">
        <v>939</v>
      </c>
      <c r="E4449" s="37">
        <f>0.0012*2</f>
        <v>2.3999999999999998E-3</v>
      </c>
      <c r="F4449" s="54">
        <v>55.929999999999993</v>
      </c>
      <c r="G4449" s="54">
        <f t="shared" si="77"/>
        <v>0.13423199999999996</v>
      </c>
      <c r="H4449" s="73"/>
      <c r="I4449" s="74"/>
      <c r="J4449" s="155">
        <v>0</v>
      </c>
    </row>
    <row r="4450" spans="1:10" ht="15" hidden="1" thickBot="1" x14ac:dyDescent="0.35">
      <c r="A4450" s="227"/>
      <c r="B4450" s="224"/>
      <c r="C4450" s="36" t="s">
        <v>1426</v>
      </c>
      <c r="D4450" s="36" t="s">
        <v>939</v>
      </c>
      <c r="E4450" s="37">
        <f>0.045*2</f>
        <v>0.09</v>
      </c>
      <c r="F4450" s="54">
        <v>82.228999999999999</v>
      </c>
      <c r="G4450" s="54">
        <f t="shared" si="77"/>
        <v>7.4006099999999995</v>
      </c>
      <c r="H4450" s="73"/>
      <c r="I4450" s="74"/>
      <c r="J4450" s="155">
        <v>0</v>
      </c>
    </row>
    <row r="4451" spans="1:10" ht="27" hidden="1" thickBot="1" x14ac:dyDescent="0.35">
      <c r="A4451" s="227"/>
      <c r="B4451" s="224"/>
      <c r="C4451" s="36" t="s">
        <v>1429</v>
      </c>
      <c r="D4451" s="36" t="s">
        <v>515</v>
      </c>
      <c r="E4451" s="37">
        <f>4*1.05</f>
        <v>4.2</v>
      </c>
      <c r="F4451" s="54">
        <v>27.735500000000002</v>
      </c>
      <c r="G4451" s="54">
        <f t="shared" si="77"/>
        <v>116.48910000000001</v>
      </c>
      <c r="H4451" s="73"/>
      <c r="I4451" s="74"/>
      <c r="J4451" s="155">
        <v>0</v>
      </c>
    </row>
    <row r="4452" spans="1:10" ht="15" hidden="1" thickBot="1" x14ac:dyDescent="0.35">
      <c r="A4452" s="227"/>
      <c r="B4452" s="224"/>
      <c r="C4452" s="36" t="s">
        <v>745</v>
      </c>
      <c r="D4452" s="36" t="s">
        <v>744</v>
      </c>
      <c r="E4452" s="37">
        <v>0.20699999999999999</v>
      </c>
      <c r="F4452" s="54">
        <v>14.968499999999999</v>
      </c>
      <c r="G4452" s="54">
        <f t="shared" si="77"/>
        <v>3.0984794999999994</v>
      </c>
      <c r="H4452" s="73"/>
      <c r="I4452" s="74"/>
      <c r="J4452" s="155">
        <v>0</v>
      </c>
    </row>
    <row r="4453" spans="1:10" ht="15" hidden="1" thickBot="1" x14ac:dyDescent="0.35">
      <c r="A4453" s="227"/>
      <c r="B4453" s="224"/>
      <c r="C4453" s="36" t="s">
        <v>1368</v>
      </c>
      <c r="D4453" s="36" t="s">
        <v>744</v>
      </c>
      <c r="E4453" s="37">
        <v>0.112</v>
      </c>
      <c r="F4453" s="54">
        <v>21.496499999999997</v>
      </c>
      <c r="G4453" s="54">
        <f t="shared" si="77"/>
        <v>2.4076079999999997</v>
      </c>
      <c r="H4453" s="73"/>
      <c r="I4453" s="74"/>
      <c r="J4453" s="155">
        <v>0</v>
      </c>
    </row>
    <row r="4454" spans="1:10" ht="27" hidden="1" thickBot="1" x14ac:dyDescent="0.35">
      <c r="A4454" s="227"/>
      <c r="B4454" s="224"/>
      <c r="C4454" s="36" t="s">
        <v>1369</v>
      </c>
      <c r="D4454" s="36" t="s">
        <v>983</v>
      </c>
      <c r="E4454" s="37">
        <v>1.32E-2</v>
      </c>
      <c r="F4454" s="54">
        <v>16.8385</v>
      </c>
      <c r="G4454" s="54">
        <f t="shared" si="77"/>
        <v>0.2222682</v>
      </c>
      <c r="H4454" s="73"/>
      <c r="I4454" s="74"/>
      <c r="J4454" s="155">
        <v>0</v>
      </c>
    </row>
    <row r="4455" spans="1:10" ht="27" hidden="1" thickBot="1" x14ac:dyDescent="0.35">
      <c r="A4455" s="227"/>
      <c r="B4455" s="224"/>
      <c r="C4455" s="36" t="s">
        <v>1370</v>
      </c>
      <c r="D4455" s="36" t="s">
        <v>985</v>
      </c>
      <c r="E4455" s="37">
        <v>1.83E-2</v>
      </c>
      <c r="F4455" s="54">
        <v>16.149999999999999</v>
      </c>
      <c r="G4455" s="54">
        <f t="shared" si="77"/>
        <v>0.295545</v>
      </c>
      <c r="H4455" s="73"/>
      <c r="I4455" s="74"/>
      <c r="J4455" s="155">
        <v>0</v>
      </c>
    </row>
    <row r="4456" spans="1:10" ht="15" hidden="1" thickBot="1" x14ac:dyDescent="0.35">
      <c r="A4456" s="228"/>
      <c r="B4456" s="225"/>
      <c r="C4456" s="55"/>
      <c r="D4456" s="55"/>
      <c r="E4456" s="66"/>
      <c r="F4456" s="76" t="s">
        <v>560</v>
      </c>
      <c r="G4456" s="76" t="str">
        <f t="shared" si="77"/>
        <v/>
      </c>
      <c r="H4456" s="77"/>
      <c r="I4456" s="74"/>
      <c r="J4456" s="155">
        <v>0</v>
      </c>
    </row>
    <row r="4457" spans="1:10" ht="15" hidden="1" thickBot="1" x14ac:dyDescent="0.35">
      <c r="A4457" s="226" t="s">
        <v>1430</v>
      </c>
      <c r="B4457" s="223" t="e">
        <f>INDEX(#REF!,MATCH(Composições!A4457,#REF!,0),2)</f>
        <v>#REF!</v>
      </c>
      <c r="C4457" s="41"/>
      <c r="D4457" s="26" t="e">
        <f>TRIM(INDEX(#REF!,MATCH(Composições!A4457,#REF!,0),1))</f>
        <v>#REF!</v>
      </c>
      <c r="E4457" s="27"/>
      <c r="F4457" s="49" t="s">
        <v>560</v>
      </c>
      <c r="G4457" s="28" t="str">
        <f t="shared" si="77"/>
        <v/>
      </c>
      <c r="H4457" s="29"/>
      <c r="I4457" s="30"/>
      <c r="J4457" s="155">
        <v>0</v>
      </c>
    </row>
    <row r="4458" spans="1:10" ht="15" hidden="1" thickBot="1" x14ac:dyDescent="0.35">
      <c r="A4458" s="227"/>
      <c r="B4458" s="224"/>
      <c r="C4458" s="32"/>
      <c r="D4458" s="32"/>
      <c r="E4458" s="33"/>
      <c r="F4458" s="54" t="s">
        <v>560</v>
      </c>
      <c r="G4458" s="54" t="str">
        <f t="shared" si="77"/>
        <v/>
      </c>
      <c r="H4458" s="73"/>
      <c r="I4458" s="74"/>
      <c r="J4458" s="155">
        <v>0</v>
      </c>
    </row>
    <row r="4459" spans="1:10" ht="27" hidden="1" thickBot="1" x14ac:dyDescent="0.35">
      <c r="A4459" s="227"/>
      <c r="B4459" s="224"/>
      <c r="C4459" s="36" t="s">
        <v>1912</v>
      </c>
      <c r="D4459" s="36" t="s">
        <v>939</v>
      </c>
      <c r="E4459" s="37">
        <v>0.02</v>
      </c>
      <c r="F4459" s="54">
        <v>19.465</v>
      </c>
      <c r="G4459" s="54">
        <f t="shared" si="77"/>
        <v>0.38929999999999998</v>
      </c>
      <c r="H4459" s="39">
        <f>SUM(G4459:G4472)</f>
        <v>97.384106636999988</v>
      </c>
      <c r="I4459" s="40"/>
      <c r="J4459" s="155">
        <v>0</v>
      </c>
    </row>
    <row r="4460" spans="1:10" ht="27" hidden="1" thickBot="1" x14ac:dyDescent="0.35">
      <c r="A4460" s="227"/>
      <c r="B4460" s="224"/>
      <c r="C4460" s="36" t="s">
        <v>1349</v>
      </c>
      <c r="D4460" s="36" t="s">
        <v>110</v>
      </c>
      <c r="E4460" s="37">
        <v>0.04</v>
      </c>
      <c r="F4460" s="54">
        <v>119.34</v>
      </c>
      <c r="G4460" s="54">
        <f t="shared" si="77"/>
        <v>4.7736000000000001</v>
      </c>
      <c r="H4460" s="73"/>
      <c r="I4460" s="74"/>
      <c r="J4460" s="155">
        <v>0</v>
      </c>
    </row>
    <row r="4461" spans="1:10" ht="15" hidden="1" thickBot="1" x14ac:dyDescent="0.35">
      <c r="A4461" s="227"/>
      <c r="B4461" s="224"/>
      <c r="C4461" s="36" t="s">
        <v>942</v>
      </c>
      <c r="D4461" s="36" t="s">
        <v>744</v>
      </c>
      <c r="E4461" s="37">
        <v>0.8</v>
      </c>
      <c r="F4461" s="54">
        <v>20.213000000000001</v>
      </c>
      <c r="G4461" s="54">
        <f t="shared" si="77"/>
        <v>16.170400000000001</v>
      </c>
      <c r="H4461" s="73"/>
      <c r="I4461" s="74"/>
      <c r="J4461" s="155">
        <v>0</v>
      </c>
    </row>
    <row r="4462" spans="1:10" ht="27" hidden="1" thickBot="1" x14ac:dyDescent="0.35">
      <c r="A4462" s="227"/>
      <c r="B4462" s="224"/>
      <c r="C4462" s="36" t="s">
        <v>1431</v>
      </c>
      <c r="D4462" s="36" t="s">
        <v>939</v>
      </c>
      <c r="E4462" s="37">
        <v>1.35</v>
      </c>
      <c r="F4462" s="54">
        <v>10.2935</v>
      </c>
      <c r="G4462" s="54">
        <f t="shared" si="77"/>
        <v>13.896225000000001</v>
      </c>
      <c r="H4462" s="73"/>
      <c r="I4462" s="74"/>
      <c r="J4462" s="155">
        <v>0</v>
      </c>
    </row>
    <row r="4463" spans="1:10" ht="15" hidden="1" thickBot="1" x14ac:dyDescent="0.35">
      <c r="A4463" s="227"/>
      <c r="B4463" s="224"/>
      <c r="C4463" s="36" t="s">
        <v>78</v>
      </c>
      <c r="D4463" s="36" t="s">
        <v>744</v>
      </c>
      <c r="E4463" s="37">
        <v>0.7</v>
      </c>
      <c r="F4463" s="54">
        <v>20.128</v>
      </c>
      <c r="G4463" s="54">
        <f t="shared" si="77"/>
        <v>14.089599999999999</v>
      </c>
      <c r="H4463" s="73"/>
      <c r="I4463" s="74"/>
      <c r="J4463" s="155">
        <v>0</v>
      </c>
    </row>
    <row r="4464" spans="1:10" ht="15" hidden="1" thickBot="1" x14ac:dyDescent="0.35">
      <c r="A4464" s="227"/>
      <c r="B4464" s="224"/>
      <c r="C4464" s="36" t="s">
        <v>1432</v>
      </c>
      <c r="D4464" s="36" t="s">
        <v>95</v>
      </c>
      <c r="E4464" s="37">
        <v>1</v>
      </c>
      <c r="F4464" s="54">
        <v>0</v>
      </c>
      <c r="G4464" s="54">
        <f t="shared" si="77"/>
        <v>0</v>
      </c>
      <c r="H4464" s="73"/>
      <c r="I4464" s="74"/>
      <c r="J4464" s="155">
        <v>0</v>
      </c>
    </row>
    <row r="4465" spans="1:10" ht="40.200000000000003" hidden="1" thickBot="1" x14ac:dyDescent="0.35">
      <c r="A4465" s="227"/>
      <c r="B4465" s="224"/>
      <c r="C4465" s="36" t="s">
        <v>1433</v>
      </c>
      <c r="D4465" s="36" t="s">
        <v>983</v>
      </c>
      <c r="E4465" s="37">
        <v>0.02</v>
      </c>
      <c r="F4465" s="54">
        <v>3.5275000000000003</v>
      </c>
      <c r="G4465" s="54">
        <f t="shared" si="77"/>
        <v>7.0550000000000002E-2</v>
      </c>
      <c r="H4465" s="73"/>
      <c r="I4465" s="74"/>
      <c r="J4465" s="155">
        <v>0</v>
      </c>
    </row>
    <row r="4466" spans="1:10" ht="15" hidden="1" thickBot="1" x14ac:dyDescent="0.35">
      <c r="A4466" s="227"/>
      <c r="B4466" s="224"/>
      <c r="C4466" s="36" t="s">
        <v>789</v>
      </c>
      <c r="D4466" s="36" t="s">
        <v>939</v>
      </c>
      <c r="E4466" s="37">
        <v>17.36</v>
      </c>
      <c r="F4466" s="54">
        <v>0.46750000000000003</v>
      </c>
      <c r="G4466" s="54">
        <f t="shared" si="77"/>
        <v>8.1158000000000001</v>
      </c>
      <c r="H4466" s="73"/>
      <c r="I4466" s="74"/>
      <c r="J4466" s="155">
        <v>0</v>
      </c>
    </row>
    <row r="4467" spans="1:10" ht="27" hidden="1" thickBot="1" x14ac:dyDescent="0.35">
      <c r="A4467" s="227"/>
      <c r="B4467" s="224"/>
      <c r="C4467" s="36" t="s">
        <v>798</v>
      </c>
      <c r="D4467" s="36" t="s">
        <v>110</v>
      </c>
      <c r="E4467" s="37">
        <v>0.09</v>
      </c>
      <c r="F4467" s="54">
        <v>129.10649999999998</v>
      </c>
      <c r="G4467" s="54">
        <f t="shared" si="77"/>
        <v>11.619584999999997</v>
      </c>
      <c r="H4467" s="73"/>
      <c r="I4467" s="74"/>
      <c r="J4467" s="155">
        <v>0</v>
      </c>
    </row>
    <row r="4468" spans="1:10" ht="15" hidden="1" thickBot="1" x14ac:dyDescent="0.35">
      <c r="A4468" s="227"/>
      <c r="B4468" s="224"/>
      <c r="C4468" s="36" t="s">
        <v>1434</v>
      </c>
      <c r="D4468" s="36" t="s">
        <v>42</v>
      </c>
      <c r="E4468" s="37">
        <v>0.02</v>
      </c>
      <c r="F4468" s="54">
        <v>17.203999999999997</v>
      </c>
      <c r="G4468" s="54">
        <f t="shared" si="77"/>
        <v>0.34407999999999994</v>
      </c>
      <c r="H4468" s="73"/>
      <c r="I4468" s="74"/>
      <c r="J4468" s="155">
        <v>0</v>
      </c>
    </row>
    <row r="4469" spans="1:10" ht="15" hidden="1" thickBot="1" x14ac:dyDescent="0.35">
      <c r="A4469" s="227"/>
      <c r="B4469" s="224"/>
      <c r="C4469" s="36" t="s">
        <v>752</v>
      </c>
      <c r="D4469" s="36" t="s">
        <v>12</v>
      </c>
      <c r="E4469" s="37">
        <v>0.3</v>
      </c>
      <c r="F4469" s="54">
        <v>20.314999999999998</v>
      </c>
      <c r="G4469" s="54">
        <f t="shared" si="77"/>
        <v>6.0944999999999991</v>
      </c>
      <c r="H4469" s="73"/>
      <c r="I4469" s="74"/>
      <c r="J4469" s="155">
        <v>0</v>
      </c>
    </row>
    <row r="4470" spans="1:10" ht="15" hidden="1" thickBot="1" x14ac:dyDescent="0.35">
      <c r="A4470" s="227"/>
      <c r="B4470" s="224"/>
      <c r="C4470" s="36" t="s">
        <v>745</v>
      </c>
      <c r="D4470" s="36" t="s">
        <v>744</v>
      </c>
      <c r="E4470" s="37">
        <v>1.1000000000000001</v>
      </c>
      <c r="F4470" s="54">
        <v>14.968499999999999</v>
      </c>
      <c r="G4470" s="54">
        <f t="shared" si="77"/>
        <v>16.465350000000001</v>
      </c>
      <c r="H4470" s="73"/>
      <c r="I4470" s="74"/>
      <c r="J4470" s="155">
        <v>0</v>
      </c>
    </row>
    <row r="4471" spans="1:10" ht="53.4" hidden="1" thickBot="1" x14ac:dyDescent="0.35">
      <c r="A4471" s="227"/>
      <c r="B4471" s="224"/>
      <c r="C4471" s="36" t="s">
        <v>1931</v>
      </c>
      <c r="D4471" s="36" t="s">
        <v>110</v>
      </c>
      <c r="E4471" s="37">
        <f>1*(E4460+E4467)</f>
        <v>0.13</v>
      </c>
      <c r="F4471" s="34">
        <v>5.4059098999999993</v>
      </c>
      <c r="G4471" s="34">
        <f t="shared" si="77"/>
        <v>0.70276828699999994</v>
      </c>
      <c r="H4471" s="35"/>
      <c r="I4471" s="31"/>
      <c r="J4471" s="155">
        <v>0</v>
      </c>
    </row>
    <row r="4472" spans="1:10" ht="27" hidden="1" thickBot="1" x14ac:dyDescent="0.35">
      <c r="A4472" s="227"/>
      <c r="B4472" s="224"/>
      <c r="C4472" s="36" t="s">
        <v>123</v>
      </c>
      <c r="D4472" s="36" t="s">
        <v>124</v>
      </c>
      <c r="E4472" s="37">
        <f>(E4460+E4467)*20</f>
        <v>2.6</v>
      </c>
      <c r="F4472" s="54">
        <v>1.7893647499999998</v>
      </c>
      <c r="G4472" s="54">
        <f t="shared" si="77"/>
        <v>4.6523483499999996</v>
      </c>
      <c r="H4472" s="73"/>
      <c r="I4472" s="74"/>
      <c r="J4472" s="155">
        <v>0</v>
      </c>
    </row>
    <row r="4473" spans="1:10" ht="15" hidden="1" thickBot="1" x14ac:dyDescent="0.35">
      <c r="A4473" s="227"/>
      <c r="B4473" s="224"/>
      <c r="C4473" s="36"/>
      <c r="D4473" s="36"/>
      <c r="E4473" s="37"/>
      <c r="F4473" s="54" t="s">
        <v>560</v>
      </c>
      <c r="G4473" s="54" t="str">
        <f t="shared" si="77"/>
        <v/>
      </c>
      <c r="H4473" s="73"/>
      <c r="I4473" s="74"/>
      <c r="J4473" s="155">
        <v>0</v>
      </c>
    </row>
    <row r="4474" spans="1:10" ht="27" hidden="1" thickBot="1" x14ac:dyDescent="0.35">
      <c r="A4474" s="227"/>
      <c r="B4474" s="224"/>
      <c r="C4474" s="48" t="s">
        <v>1337</v>
      </c>
      <c r="D4474" s="36"/>
      <c r="E4474" s="37"/>
      <c r="F4474" s="54" t="s">
        <v>560</v>
      </c>
      <c r="G4474" s="54" t="str">
        <f t="shared" si="77"/>
        <v/>
      </c>
      <c r="H4474" s="73"/>
      <c r="I4474" s="74"/>
      <c r="J4474" s="155">
        <v>0</v>
      </c>
    </row>
    <row r="4475" spans="1:10" ht="15" hidden="1" thickBot="1" x14ac:dyDescent="0.35">
      <c r="A4475" s="228"/>
      <c r="B4475" s="225"/>
      <c r="C4475" s="55"/>
      <c r="D4475" s="55"/>
      <c r="E4475" s="66"/>
      <c r="F4475" s="76" t="s">
        <v>560</v>
      </c>
      <c r="G4475" s="76" t="str">
        <f t="shared" si="77"/>
        <v/>
      </c>
      <c r="H4475" s="77"/>
      <c r="I4475" s="74"/>
      <c r="J4475" s="155">
        <v>0</v>
      </c>
    </row>
    <row r="4476" spans="1:10" ht="15" hidden="1" thickBot="1" x14ac:dyDescent="0.35">
      <c r="A4476" s="226" t="s">
        <v>1435</v>
      </c>
      <c r="B4476" s="223" t="e">
        <f>INDEX(#REF!,MATCH(Composições!A4476,#REF!,0),2)</f>
        <v>#REF!</v>
      </c>
      <c r="C4476" s="41"/>
      <c r="D4476" s="26" t="e">
        <f>TRIM(INDEX(#REF!,MATCH(Composições!A4476,#REF!,0),1))</f>
        <v>#REF!</v>
      </c>
      <c r="E4476" s="27"/>
      <c r="F4476" s="49" t="s">
        <v>560</v>
      </c>
      <c r="G4476" s="28" t="str">
        <f t="shared" si="77"/>
        <v/>
      </c>
      <c r="H4476" s="29"/>
      <c r="I4476" s="30"/>
      <c r="J4476" s="155">
        <v>0</v>
      </c>
    </row>
    <row r="4477" spans="1:10" ht="15" hidden="1" thickBot="1" x14ac:dyDescent="0.35">
      <c r="A4477" s="227"/>
      <c r="B4477" s="224"/>
      <c r="C4477" s="32"/>
      <c r="D4477" s="32"/>
      <c r="E4477" s="33"/>
      <c r="F4477" s="54" t="s">
        <v>560</v>
      </c>
      <c r="G4477" s="54" t="str">
        <f t="shared" si="77"/>
        <v/>
      </c>
      <c r="H4477" s="73"/>
      <c r="I4477" s="74"/>
      <c r="J4477" s="155">
        <v>0</v>
      </c>
    </row>
    <row r="4478" spans="1:10" ht="40.200000000000003" hidden="1" thickBot="1" x14ac:dyDescent="0.35">
      <c r="A4478" s="227"/>
      <c r="B4478" s="224"/>
      <c r="C4478" s="36" t="s">
        <v>1436</v>
      </c>
      <c r="D4478" s="36" t="s">
        <v>1035</v>
      </c>
      <c r="E4478" s="37">
        <f>ROUND(0.712*1.48,4)</f>
        <v>1.0538000000000001</v>
      </c>
      <c r="F4478" s="54">
        <v>20.332000000000001</v>
      </c>
      <c r="G4478" s="54">
        <f t="shared" si="77"/>
        <v>21.425861600000001</v>
      </c>
      <c r="H4478" s="39">
        <f>SUM(G4478:G4482)</f>
        <v>23.398461700000002</v>
      </c>
      <c r="I4478" s="40"/>
      <c r="J4478" s="155">
        <v>0</v>
      </c>
    </row>
    <row r="4479" spans="1:10" ht="27" hidden="1" thickBot="1" x14ac:dyDescent="0.35">
      <c r="A4479" s="227"/>
      <c r="B4479" s="224"/>
      <c r="C4479" s="36" t="s">
        <v>940</v>
      </c>
      <c r="D4479" s="36" t="s">
        <v>292</v>
      </c>
      <c r="E4479" s="37">
        <f>ROUND(1.382*1.48,4)</f>
        <v>2.0453999999999999</v>
      </c>
      <c r="F4479" s="54">
        <v>0.17849999999999999</v>
      </c>
      <c r="G4479" s="54">
        <f t="shared" si="77"/>
        <v>0.36510389999999998</v>
      </c>
      <c r="H4479" s="73"/>
      <c r="I4479" s="74"/>
      <c r="J4479" s="155">
        <v>0</v>
      </c>
    </row>
    <row r="4480" spans="1:10" ht="27" hidden="1" thickBot="1" x14ac:dyDescent="0.35">
      <c r="A4480" s="227"/>
      <c r="B4480" s="224"/>
      <c r="C4480" s="36" t="s">
        <v>1912</v>
      </c>
      <c r="D4480" s="36" t="s">
        <v>939</v>
      </c>
      <c r="E4480" s="37">
        <f>ROUND(0.0105*1.48,4)</f>
        <v>1.55E-2</v>
      </c>
      <c r="F4480" s="54">
        <v>19.465</v>
      </c>
      <c r="G4480" s="54">
        <f t="shared" si="77"/>
        <v>0.30170750000000002</v>
      </c>
      <c r="H4480" s="73"/>
      <c r="I4480" s="74"/>
      <c r="J4480" s="155">
        <v>0</v>
      </c>
    </row>
    <row r="4481" spans="1:10" ht="15" hidden="1" thickBot="1" x14ac:dyDescent="0.35">
      <c r="A4481" s="227"/>
      <c r="B4481" s="224"/>
      <c r="C4481" s="36" t="s">
        <v>941</v>
      </c>
      <c r="D4481" s="36" t="s">
        <v>744</v>
      </c>
      <c r="E4481" s="37">
        <f>ROUND(0.006*1.48,4)</f>
        <v>8.8999999999999999E-3</v>
      </c>
      <c r="F4481" s="54">
        <v>15.674000000000001</v>
      </c>
      <c r="G4481" s="54">
        <f t="shared" si="77"/>
        <v>0.1394986</v>
      </c>
      <c r="H4481" s="73"/>
      <c r="I4481" s="74"/>
      <c r="J4481" s="155">
        <v>0</v>
      </c>
    </row>
    <row r="4482" spans="1:10" ht="15" hidden="1" thickBot="1" x14ac:dyDescent="0.35">
      <c r="A4482" s="227"/>
      <c r="B4482" s="224"/>
      <c r="C4482" s="36" t="s">
        <v>942</v>
      </c>
      <c r="D4482" s="36" t="s">
        <v>744</v>
      </c>
      <c r="E4482" s="37">
        <f>ROUND(0.039*1.48,4)</f>
        <v>5.7700000000000001E-2</v>
      </c>
      <c r="F4482" s="54">
        <v>20.213000000000001</v>
      </c>
      <c r="G4482" s="54">
        <f t="shared" si="77"/>
        <v>1.1662901000000001</v>
      </c>
      <c r="H4482" s="73"/>
      <c r="I4482" s="74"/>
      <c r="J4482" s="155">
        <v>0</v>
      </c>
    </row>
    <row r="4483" spans="1:10" ht="15" hidden="1" thickBot="1" x14ac:dyDescent="0.35">
      <c r="A4483" s="227"/>
      <c r="B4483" s="224"/>
      <c r="C4483" s="36"/>
      <c r="D4483" s="36"/>
      <c r="E4483" s="37"/>
      <c r="F4483" s="54" t="s">
        <v>560</v>
      </c>
      <c r="G4483" s="54" t="str">
        <f t="shared" si="77"/>
        <v/>
      </c>
      <c r="H4483" s="73"/>
      <c r="I4483" s="74"/>
      <c r="J4483" s="155">
        <v>0</v>
      </c>
    </row>
    <row r="4484" spans="1:10" ht="15" hidden="1" thickBot="1" x14ac:dyDescent="0.35">
      <c r="A4484" s="226" t="s">
        <v>1437</v>
      </c>
      <c r="B4484" s="223" t="e">
        <f>INDEX(#REF!,MATCH(Composições!A4484,#REF!,0),2)</f>
        <v>#REF!</v>
      </c>
      <c r="C4484" s="41"/>
      <c r="D4484" s="26" t="e">
        <f>TRIM(INDEX(#REF!,MATCH(Composições!A4484,#REF!,0),1))</f>
        <v>#REF!</v>
      </c>
      <c r="E4484" s="27"/>
      <c r="F4484" s="49" t="s">
        <v>560</v>
      </c>
      <c r="G4484" s="28" t="str">
        <f t="shared" si="77"/>
        <v/>
      </c>
      <c r="H4484" s="29"/>
      <c r="I4484" s="30"/>
      <c r="J4484" s="155">
        <v>0</v>
      </c>
    </row>
    <row r="4485" spans="1:10" ht="15" hidden="1" thickBot="1" x14ac:dyDescent="0.35">
      <c r="A4485" s="227"/>
      <c r="B4485" s="224"/>
      <c r="C4485" s="32"/>
      <c r="D4485" s="32"/>
      <c r="E4485" s="33"/>
      <c r="F4485" s="54" t="s">
        <v>560</v>
      </c>
      <c r="G4485" s="54" t="str">
        <f t="shared" si="77"/>
        <v/>
      </c>
      <c r="H4485" s="73"/>
      <c r="I4485" s="74"/>
      <c r="J4485" s="155">
        <v>0</v>
      </c>
    </row>
    <row r="4486" spans="1:10" ht="27" hidden="1" thickBot="1" x14ac:dyDescent="0.35">
      <c r="A4486" s="227"/>
      <c r="B4486" s="224"/>
      <c r="C4486" s="36" t="s">
        <v>1438</v>
      </c>
      <c r="D4486" s="47" t="s">
        <v>1305</v>
      </c>
      <c r="E4486" s="37">
        <v>7.0000000000000001E-3</v>
      </c>
      <c r="F4486" s="54">
        <v>104.1335</v>
      </c>
      <c r="G4486" s="54">
        <f t="shared" si="77"/>
        <v>0.72893450000000004</v>
      </c>
      <c r="H4486" s="39">
        <f>SUM(G4486:G4491)</f>
        <v>44.108886800000001</v>
      </c>
      <c r="I4486" s="40"/>
      <c r="J4486" s="155">
        <v>0</v>
      </c>
    </row>
    <row r="4487" spans="1:10" ht="27" hidden="1" thickBot="1" x14ac:dyDescent="0.35">
      <c r="A4487" s="227"/>
      <c r="B4487" s="224"/>
      <c r="C4487" s="36" t="s">
        <v>1439</v>
      </c>
      <c r="D4487" s="36" t="s">
        <v>939</v>
      </c>
      <c r="E4487" s="37">
        <v>4.3330000000000002</v>
      </c>
      <c r="F4487" s="54">
        <v>8.8230000000000004</v>
      </c>
      <c r="G4487" s="54">
        <f t="shared" si="77"/>
        <v>38.230059000000004</v>
      </c>
      <c r="H4487" s="73"/>
      <c r="I4487" s="74"/>
      <c r="J4487" s="155">
        <v>0</v>
      </c>
    </row>
    <row r="4488" spans="1:10" ht="27" hidden="1" thickBot="1" x14ac:dyDescent="0.35">
      <c r="A4488" s="227"/>
      <c r="B4488" s="224"/>
      <c r="C4488" s="36" t="s">
        <v>1028</v>
      </c>
      <c r="D4488" s="36" t="s">
        <v>744</v>
      </c>
      <c r="E4488" s="37">
        <v>0.21299999999999999</v>
      </c>
      <c r="F4488" s="54">
        <v>15.4785</v>
      </c>
      <c r="G4488" s="54">
        <f t="shared" si="77"/>
        <v>3.2969205000000001</v>
      </c>
      <c r="H4488" s="73"/>
      <c r="I4488" s="74"/>
      <c r="J4488" s="155">
        <v>0</v>
      </c>
    </row>
    <row r="4489" spans="1:10" ht="15" hidden="1" thickBot="1" x14ac:dyDescent="0.35">
      <c r="A4489" s="227"/>
      <c r="B4489" s="224"/>
      <c r="C4489" s="36" t="s">
        <v>745</v>
      </c>
      <c r="D4489" s="36" t="s">
        <v>744</v>
      </c>
      <c r="E4489" s="37">
        <v>0.106</v>
      </c>
      <c r="F4489" s="54">
        <v>14.968499999999999</v>
      </c>
      <c r="G4489" s="54">
        <f t="shared" si="77"/>
        <v>1.5866609999999999</v>
      </c>
      <c r="H4489" s="73"/>
      <c r="I4489" s="74"/>
      <c r="J4489" s="155">
        <v>0</v>
      </c>
    </row>
    <row r="4490" spans="1:10" ht="27" hidden="1" thickBot="1" x14ac:dyDescent="0.35">
      <c r="A4490" s="227"/>
      <c r="B4490" s="224"/>
      <c r="C4490" s="36" t="s">
        <v>1369</v>
      </c>
      <c r="D4490" s="36" t="s">
        <v>983</v>
      </c>
      <c r="E4490" s="37">
        <v>6.7999999999999996E-3</v>
      </c>
      <c r="F4490" s="54">
        <v>16.8385</v>
      </c>
      <c r="G4490" s="54">
        <f t="shared" si="77"/>
        <v>0.11450179999999999</v>
      </c>
      <c r="H4490" s="73"/>
      <c r="I4490" s="74"/>
      <c r="J4490" s="155">
        <v>0</v>
      </c>
    </row>
    <row r="4491" spans="1:10" ht="27" hidden="1" thickBot="1" x14ac:dyDescent="0.35">
      <c r="A4491" s="227"/>
      <c r="B4491" s="224"/>
      <c r="C4491" s="36" t="s">
        <v>1370</v>
      </c>
      <c r="D4491" s="36" t="s">
        <v>985</v>
      </c>
      <c r="E4491" s="37">
        <v>9.4000000000000004E-3</v>
      </c>
      <c r="F4491" s="54">
        <v>16.149999999999999</v>
      </c>
      <c r="G4491" s="54">
        <f t="shared" si="77"/>
        <v>0.15181</v>
      </c>
      <c r="H4491" s="73"/>
      <c r="I4491" s="74"/>
      <c r="J4491" s="155">
        <v>0</v>
      </c>
    </row>
    <row r="4492" spans="1:10" ht="15" hidden="1" thickBot="1" x14ac:dyDescent="0.35">
      <c r="A4492" s="228"/>
      <c r="B4492" s="225"/>
      <c r="C4492" s="55"/>
      <c r="D4492" s="55"/>
      <c r="E4492" s="66"/>
      <c r="F4492" s="76" t="s">
        <v>560</v>
      </c>
      <c r="G4492" s="76" t="str">
        <f t="shared" si="77"/>
        <v/>
      </c>
      <c r="H4492" s="77"/>
      <c r="I4492" s="74"/>
      <c r="J4492" s="155">
        <v>0</v>
      </c>
    </row>
    <row r="4493" spans="1:10" ht="15" hidden="1" thickBot="1" x14ac:dyDescent="0.35">
      <c r="A4493" s="226" t="s">
        <v>1440</v>
      </c>
      <c r="B4493" s="223" t="e">
        <f>INDEX(#REF!,MATCH(Composições!A4493,#REF!,0),2)</f>
        <v>#REF!</v>
      </c>
      <c r="C4493" s="41"/>
      <c r="D4493" s="26" t="e">
        <f>TRIM(INDEX(#REF!,MATCH(Composições!A4493,#REF!,0),1))</f>
        <v>#REF!</v>
      </c>
      <c r="E4493" s="27"/>
      <c r="F4493" s="49" t="s">
        <v>560</v>
      </c>
      <c r="G4493" s="28" t="str">
        <f t="shared" si="77"/>
        <v/>
      </c>
      <c r="H4493" s="29"/>
      <c r="I4493" s="30"/>
      <c r="J4493" s="155">
        <v>0</v>
      </c>
    </row>
    <row r="4494" spans="1:10" ht="15" hidden="1" thickBot="1" x14ac:dyDescent="0.35">
      <c r="A4494" s="227"/>
      <c r="B4494" s="224"/>
      <c r="C4494" s="32"/>
      <c r="D4494" s="32"/>
      <c r="E4494" s="33"/>
      <c r="F4494" s="54" t="s">
        <v>560</v>
      </c>
      <c r="G4494" s="54" t="str">
        <f t="shared" si="77"/>
        <v/>
      </c>
      <c r="H4494" s="73"/>
      <c r="I4494" s="74"/>
      <c r="J4494" s="155">
        <v>0</v>
      </c>
    </row>
    <row r="4495" spans="1:10" ht="15" hidden="1" thickBot="1" x14ac:dyDescent="0.35">
      <c r="A4495" s="227"/>
      <c r="B4495" s="224"/>
      <c r="C4495" s="36" t="s">
        <v>1092</v>
      </c>
      <c r="D4495" s="36" t="s">
        <v>744</v>
      </c>
      <c r="E4495" s="37">
        <v>0.1</v>
      </c>
      <c r="F4495" s="54">
        <v>16.949000000000002</v>
      </c>
      <c r="G4495" s="54">
        <f t="shared" si="77"/>
        <v>1.6949000000000003</v>
      </c>
      <c r="H4495" s="39">
        <f>SUM(G4495:G4497)</f>
        <v>5.9262000000000006</v>
      </c>
      <c r="I4495" s="40"/>
      <c r="J4495" s="155">
        <v>0</v>
      </c>
    </row>
    <row r="4496" spans="1:10" ht="15" hidden="1" thickBot="1" x14ac:dyDescent="0.35">
      <c r="A4496" s="227"/>
      <c r="B4496" s="224"/>
      <c r="C4496" s="36" t="s">
        <v>1138</v>
      </c>
      <c r="D4496" s="36" t="s">
        <v>744</v>
      </c>
      <c r="E4496" s="37">
        <v>0.2</v>
      </c>
      <c r="F4496" s="54">
        <v>21.156500000000001</v>
      </c>
      <c r="G4496" s="54">
        <f t="shared" si="77"/>
        <v>4.2313000000000001</v>
      </c>
      <c r="H4496" s="73"/>
      <c r="I4496" s="74"/>
      <c r="J4496" s="155">
        <v>0</v>
      </c>
    </row>
    <row r="4497" spans="1:10" ht="15" hidden="1" thickBot="1" x14ac:dyDescent="0.35">
      <c r="A4497" s="227"/>
      <c r="B4497" s="224"/>
      <c r="C4497" s="36" t="s">
        <v>1942</v>
      </c>
      <c r="D4497" s="36" t="s">
        <v>103</v>
      </c>
      <c r="E4497" s="37">
        <f>2*3.6/75</f>
        <v>9.6000000000000002E-2</v>
      </c>
      <c r="F4497" s="54" t="s">
        <v>560</v>
      </c>
      <c r="G4497" s="54" t="str">
        <f t="shared" si="77"/>
        <v/>
      </c>
      <c r="H4497" s="73"/>
      <c r="I4497" s="74"/>
      <c r="J4497" s="155">
        <v>0</v>
      </c>
    </row>
    <row r="4498" spans="1:10" ht="15" hidden="1" thickBot="1" x14ac:dyDescent="0.35">
      <c r="A4498" s="227"/>
      <c r="B4498" s="224"/>
      <c r="C4498" s="36"/>
      <c r="D4498" s="36"/>
      <c r="E4498" s="37"/>
      <c r="F4498" s="54" t="s">
        <v>560</v>
      </c>
      <c r="G4498" s="54" t="str">
        <f t="shared" si="77"/>
        <v/>
      </c>
      <c r="H4498" s="73"/>
      <c r="I4498" s="74"/>
      <c r="J4498" s="155">
        <v>0</v>
      </c>
    </row>
    <row r="4499" spans="1:10" ht="40.200000000000003" hidden="1" thickBot="1" x14ac:dyDescent="0.35">
      <c r="A4499" s="227"/>
      <c r="B4499" s="224"/>
      <c r="C4499" s="48" t="s">
        <v>1441</v>
      </c>
      <c r="D4499" s="36"/>
      <c r="E4499" s="37"/>
      <c r="F4499" s="54" t="s">
        <v>560</v>
      </c>
      <c r="G4499" s="54" t="str">
        <f t="shared" si="77"/>
        <v/>
      </c>
      <c r="H4499" s="73"/>
      <c r="I4499" s="74"/>
      <c r="J4499" s="155">
        <v>0</v>
      </c>
    </row>
    <row r="4500" spans="1:10" ht="15" hidden="1" thickBot="1" x14ac:dyDescent="0.35">
      <c r="A4500" s="227"/>
      <c r="B4500" s="224"/>
      <c r="C4500" s="36"/>
      <c r="D4500" s="36"/>
      <c r="E4500" s="37"/>
      <c r="F4500" s="54" t="s">
        <v>560</v>
      </c>
      <c r="G4500" s="54" t="str">
        <f t="shared" si="77"/>
        <v/>
      </c>
      <c r="H4500" s="73"/>
      <c r="I4500" s="74"/>
      <c r="J4500" s="155">
        <v>0</v>
      </c>
    </row>
    <row r="4501" spans="1:10" ht="15" hidden="1" thickBot="1" x14ac:dyDescent="0.35">
      <c r="A4501" s="226" t="s">
        <v>1442</v>
      </c>
      <c r="B4501" s="223" t="e">
        <f>INDEX(#REF!,MATCH(Composições!A4501,#REF!,0),2)</f>
        <v>#REF!</v>
      </c>
      <c r="C4501" s="41"/>
      <c r="D4501" s="26" t="e">
        <f>TRIM(INDEX(#REF!,MATCH(Composições!A4501,#REF!,0),1))</f>
        <v>#REF!</v>
      </c>
      <c r="E4501" s="27"/>
      <c r="F4501" s="49" t="s">
        <v>560</v>
      </c>
      <c r="G4501" s="28" t="str">
        <f t="shared" si="77"/>
        <v/>
      </c>
      <c r="H4501" s="29"/>
      <c r="I4501" s="30"/>
      <c r="J4501" s="155">
        <v>0</v>
      </c>
    </row>
    <row r="4502" spans="1:10" ht="15" hidden="1" thickBot="1" x14ac:dyDescent="0.35">
      <c r="A4502" s="227"/>
      <c r="B4502" s="224"/>
      <c r="C4502" s="32"/>
      <c r="D4502" s="32"/>
      <c r="E4502" s="33"/>
      <c r="F4502" s="54" t="s">
        <v>560</v>
      </c>
      <c r="G4502" s="54" t="str">
        <f t="shared" si="77"/>
        <v/>
      </c>
      <c r="H4502" s="73"/>
      <c r="I4502" s="74"/>
      <c r="J4502" s="155">
        <v>0</v>
      </c>
    </row>
    <row r="4503" spans="1:10" ht="15" hidden="1" thickBot="1" x14ac:dyDescent="0.35">
      <c r="A4503" s="227"/>
      <c r="B4503" s="224"/>
      <c r="C4503" s="36" t="s">
        <v>1092</v>
      </c>
      <c r="D4503" s="36" t="s">
        <v>744</v>
      </c>
      <c r="E4503" s="37">
        <v>0.1</v>
      </c>
      <c r="F4503" s="54">
        <v>16.949000000000002</v>
      </c>
      <c r="G4503" s="54">
        <f t="shared" si="77"/>
        <v>1.6949000000000003</v>
      </c>
      <c r="H4503" s="39">
        <f>SUM(G4503:G4505)</f>
        <v>5.9262000000000006</v>
      </c>
      <c r="I4503" s="40"/>
      <c r="J4503" s="155">
        <v>0</v>
      </c>
    </row>
    <row r="4504" spans="1:10" ht="15" hidden="1" thickBot="1" x14ac:dyDescent="0.35">
      <c r="A4504" s="227"/>
      <c r="B4504" s="224"/>
      <c r="C4504" s="36" t="s">
        <v>1138</v>
      </c>
      <c r="D4504" s="36" t="s">
        <v>744</v>
      </c>
      <c r="E4504" s="37">
        <v>0.2</v>
      </c>
      <c r="F4504" s="54">
        <v>21.156500000000001</v>
      </c>
      <c r="G4504" s="54">
        <f t="shared" si="77"/>
        <v>4.2313000000000001</v>
      </c>
      <c r="H4504" s="73"/>
      <c r="I4504" s="74"/>
      <c r="J4504" s="155">
        <v>0</v>
      </c>
    </row>
    <row r="4505" spans="1:10" ht="15" hidden="1" thickBot="1" x14ac:dyDescent="0.35">
      <c r="A4505" s="227"/>
      <c r="B4505" s="224"/>
      <c r="C4505" s="36" t="s">
        <v>1443</v>
      </c>
      <c r="D4505" s="36" t="s">
        <v>103</v>
      </c>
      <c r="E4505" s="37">
        <v>0.5</v>
      </c>
      <c r="F4505" s="54">
        <v>0</v>
      </c>
      <c r="G4505" s="54">
        <f t="shared" si="77"/>
        <v>0</v>
      </c>
      <c r="H4505" s="73"/>
      <c r="I4505" s="74"/>
      <c r="J4505" s="155">
        <v>0</v>
      </c>
    </row>
    <row r="4506" spans="1:10" ht="15" hidden="1" thickBot="1" x14ac:dyDescent="0.35">
      <c r="A4506" s="227"/>
      <c r="B4506" s="224"/>
      <c r="C4506" s="36"/>
      <c r="D4506" s="36"/>
      <c r="E4506" s="37"/>
      <c r="F4506" s="54" t="s">
        <v>560</v>
      </c>
      <c r="G4506" s="54" t="str">
        <f t="shared" si="77"/>
        <v/>
      </c>
      <c r="H4506" s="73"/>
      <c r="I4506" s="74"/>
      <c r="J4506" s="155">
        <v>0</v>
      </c>
    </row>
    <row r="4507" spans="1:10" ht="15" hidden="1" thickBot="1" x14ac:dyDescent="0.35">
      <c r="A4507" s="226" t="s">
        <v>1444</v>
      </c>
      <c r="B4507" s="223" t="e">
        <f>INDEX(#REF!,MATCH(Composições!A4507,#REF!,0),2)</f>
        <v>#REF!</v>
      </c>
      <c r="C4507" s="41"/>
      <c r="D4507" s="26" t="e">
        <f>TRIM(INDEX(#REF!,MATCH(Composições!A4507,#REF!,0),1))</f>
        <v>#REF!</v>
      </c>
      <c r="E4507" s="27"/>
      <c r="F4507" s="49" t="s">
        <v>560</v>
      </c>
      <c r="G4507" s="28" t="str">
        <f t="shared" si="77"/>
        <v/>
      </c>
      <c r="H4507" s="29"/>
      <c r="I4507" s="30"/>
      <c r="J4507" s="155">
        <v>0</v>
      </c>
    </row>
    <row r="4508" spans="1:10" ht="15" hidden="1" thickBot="1" x14ac:dyDescent="0.35">
      <c r="A4508" s="227"/>
      <c r="B4508" s="224"/>
      <c r="C4508" s="32"/>
      <c r="D4508" s="32"/>
      <c r="E4508" s="33"/>
      <c r="F4508" s="54" t="s">
        <v>560</v>
      </c>
      <c r="G4508" s="54" t="str">
        <f t="shared" si="77"/>
        <v/>
      </c>
      <c r="H4508" s="73"/>
      <c r="I4508" s="74"/>
      <c r="J4508" s="155">
        <v>0</v>
      </c>
    </row>
    <row r="4509" spans="1:10" ht="15" hidden="1" thickBot="1" x14ac:dyDescent="0.35">
      <c r="A4509" s="227"/>
      <c r="B4509" s="224"/>
      <c r="C4509" s="36" t="s">
        <v>745</v>
      </c>
      <c r="D4509" s="36" t="s">
        <v>744</v>
      </c>
      <c r="E4509" s="37">
        <v>6.5</v>
      </c>
      <c r="F4509" s="54">
        <v>14.968499999999999</v>
      </c>
      <c r="G4509" s="54">
        <f t="shared" si="77"/>
        <v>97.295249999999996</v>
      </c>
      <c r="H4509" s="39">
        <f>SUM(G4509:G4515)</f>
        <v>862.9769148542</v>
      </c>
      <c r="I4509" s="40"/>
      <c r="J4509" s="155">
        <v>0</v>
      </c>
    </row>
    <row r="4510" spans="1:10" ht="27" hidden="1" thickBot="1" x14ac:dyDescent="0.35">
      <c r="A4510" s="227"/>
      <c r="B4510" s="224"/>
      <c r="C4510" s="36" t="s">
        <v>793</v>
      </c>
      <c r="D4510" s="36" t="s">
        <v>110</v>
      </c>
      <c r="E4510" s="37">
        <v>0.35799999999999998</v>
      </c>
      <c r="F4510" s="54">
        <v>76.5</v>
      </c>
      <c r="G4510" s="54">
        <f t="shared" si="77"/>
        <v>27.387</v>
      </c>
      <c r="H4510" s="73"/>
      <c r="I4510" s="74"/>
      <c r="J4510" s="155">
        <v>0</v>
      </c>
    </row>
    <row r="4511" spans="1:10" ht="15" hidden="1" thickBot="1" x14ac:dyDescent="0.35">
      <c r="A4511" s="227"/>
      <c r="B4511" s="224"/>
      <c r="C4511" s="36" t="s">
        <v>789</v>
      </c>
      <c r="D4511" s="36" t="s">
        <v>939</v>
      </c>
      <c r="E4511" s="37">
        <v>400</v>
      </c>
      <c r="F4511" s="54">
        <v>0.46750000000000003</v>
      </c>
      <c r="G4511" s="54">
        <f t="shared" ref="G4511:G4574" si="78">IF(ISNUMBER(F4511),E4511*F4511,"")</f>
        <v>187</v>
      </c>
      <c r="H4511" s="73"/>
      <c r="I4511" s="74"/>
      <c r="J4511" s="155">
        <v>0</v>
      </c>
    </row>
    <row r="4512" spans="1:10" ht="27" hidden="1" thickBot="1" x14ac:dyDescent="0.35">
      <c r="A4512" s="227"/>
      <c r="B4512" s="224"/>
      <c r="C4512" s="36" t="s">
        <v>1445</v>
      </c>
      <c r="D4512" s="36" t="s">
        <v>42</v>
      </c>
      <c r="E4512" s="37">
        <v>10.5</v>
      </c>
      <c r="F4512" s="54">
        <v>51.0595</v>
      </c>
      <c r="G4512" s="54">
        <f t="shared" si="78"/>
        <v>536.12474999999995</v>
      </c>
      <c r="H4512" s="73"/>
      <c r="I4512" s="74"/>
      <c r="J4512" s="155">
        <v>0</v>
      </c>
    </row>
    <row r="4513" spans="1:10" ht="40.200000000000003" hidden="1" thickBot="1" x14ac:dyDescent="0.35">
      <c r="A4513" s="227"/>
      <c r="B4513" s="224"/>
      <c r="C4513" s="36" t="s">
        <v>119</v>
      </c>
      <c r="D4513" s="36" t="s">
        <v>983</v>
      </c>
      <c r="E4513" s="37">
        <v>0.34300000000000003</v>
      </c>
      <c r="F4513" s="54">
        <v>1.2324999999999999</v>
      </c>
      <c r="G4513" s="54">
        <f t="shared" si="78"/>
        <v>0.4227475</v>
      </c>
      <c r="H4513" s="73"/>
      <c r="I4513" s="74"/>
      <c r="J4513" s="155">
        <v>0</v>
      </c>
    </row>
    <row r="4514" spans="1:10" ht="53.4" hidden="1" thickBot="1" x14ac:dyDescent="0.35">
      <c r="A4514" s="227"/>
      <c r="B4514" s="224"/>
      <c r="C4514" s="36" t="s">
        <v>1931</v>
      </c>
      <c r="D4514" s="36" t="s">
        <v>110</v>
      </c>
      <c r="E4514" s="37">
        <f>1*E4510</f>
        <v>0.35799999999999998</v>
      </c>
      <c r="F4514" s="34">
        <v>5.4059098999999993</v>
      </c>
      <c r="G4514" s="34">
        <f t="shared" si="78"/>
        <v>1.9353157441999997</v>
      </c>
      <c r="H4514" s="35"/>
      <c r="I4514" s="31"/>
      <c r="J4514" s="155">
        <v>0</v>
      </c>
    </row>
    <row r="4515" spans="1:10" ht="27" hidden="1" thickBot="1" x14ac:dyDescent="0.35">
      <c r="A4515" s="227"/>
      <c r="B4515" s="224"/>
      <c r="C4515" s="36" t="s">
        <v>123</v>
      </c>
      <c r="D4515" s="36" t="s">
        <v>124</v>
      </c>
      <c r="E4515" s="37">
        <f>E4510*20</f>
        <v>7.16</v>
      </c>
      <c r="F4515" s="54">
        <v>1.7893647499999998</v>
      </c>
      <c r="G4515" s="54">
        <f t="shared" si="78"/>
        <v>12.81185161</v>
      </c>
      <c r="H4515" s="73"/>
      <c r="I4515" s="74"/>
      <c r="J4515" s="155">
        <v>0</v>
      </c>
    </row>
    <row r="4516" spans="1:10" ht="15" hidden="1" thickBot="1" x14ac:dyDescent="0.35">
      <c r="A4516" s="227"/>
      <c r="B4516" s="224"/>
      <c r="C4516" s="36"/>
      <c r="D4516" s="36"/>
      <c r="E4516" s="37"/>
      <c r="F4516" s="54" t="s">
        <v>560</v>
      </c>
      <c r="G4516" s="54" t="str">
        <f t="shared" si="78"/>
        <v/>
      </c>
      <c r="H4516" s="73"/>
      <c r="I4516" s="74"/>
      <c r="J4516" s="155">
        <v>0</v>
      </c>
    </row>
    <row r="4517" spans="1:10" ht="15" hidden="1" thickBot="1" x14ac:dyDescent="0.35">
      <c r="A4517" s="227"/>
      <c r="B4517" s="224"/>
      <c r="C4517" s="48" t="s">
        <v>1446</v>
      </c>
      <c r="D4517" s="36"/>
      <c r="E4517" s="37"/>
      <c r="F4517" s="54" t="s">
        <v>560</v>
      </c>
      <c r="G4517" s="54" t="str">
        <f t="shared" si="78"/>
        <v/>
      </c>
      <c r="H4517" s="73"/>
      <c r="I4517" s="74"/>
      <c r="J4517" s="155">
        <v>0</v>
      </c>
    </row>
    <row r="4518" spans="1:10" ht="15" hidden="1" thickBot="1" x14ac:dyDescent="0.35">
      <c r="A4518" s="227"/>
      <c r="B4518" s="224"/>
      <c r="C4518" s="36"/>
      <c r="D4518" s="36"/>
      <c r="E4518" s="37"/>
      <c r="F4518" s="54" t="s">
        <v>560</v>
      </c>
      <c r="G4518" s="54" t="str">
        <f t="shared" si="78"/>
        <v/>
      </c>
      <c r="H4518" s="73"/>
      <c r="I4518" s="74"/>
      <c r="J4518" s="155">
        <v>0</v>
      </c>
    </row>
    <row r="4519" spans="1:10" ht="15" hidden="1" thickBot="1" x14ac:dyDescent="0.35">
      <c r="A4519" s="226" t="s">
        <v>1447</v>
      </c>
      <c r="B4519" s="223" t="e">
        <f>INDEX(#REF!,MATCH(Composições!A4519,#REF!,0),2)</f>
        <v>#REF!</v>
      </c>
      <c r="C4519" s="41"/>
      <c r="D4519" s="26" t="e">
        <f>TRIM(INDEX(#REF!,MATCH(Composições!A4519,#REF!,0),1))</f>
        <v>#REF!</v>
      </c>
      <c r="E4519" s="27"/>
      <c r="F4519" s="49" t="s">
        <v>560</v>
      </c>
      <c r="G4519" s="28" t="str">
        <f t="shared" si="78"/>
        <v/>
      </c>
      <c r="H4519" s="29"/>
      <c r="I4519" s="30"/>
      <c r="J4519" s="155">
        <v>0</v>
      </c>
    </row>
    <row r="4520" spans="1:10" ht="15" hidden="1" thickBot="1" x14ac:dyDescent="0.35">
      <c r="A4520" s="227"/>
      <c r="B4520" s="224"/>
      <c r="C4520" s="32"/>
      <c r="D4520" s="32"/>
      <c r="E4520" s="33"/>
      <c r="F4520" s="54" t="s">
        <v>560</v>
      </c>
      <c r="G4520" s="54" t="str">
        <f t="shared" si="78"/>
        <v/>
      </c>
      <c r="H4520" s="73"/>
      <c r="I4520" s="74"/>
      <c r="J4520" s="155">
        <v>0</v>
      </c>
    </row>
    <row r="4521" spans="1:10" ht="27" hidden="1" thickBot="1" x14ac:dyDescent="0.35">
      <c r="A4521" s="227"/>
      <c r="B4521" s="224"/>
      <c r="C4521" s="36" t="s">
        <v>1448</v>
      </c>
      <c r="D4521" s="36" t="s">
        <v>103</v>
      </c>
      <c r="E4521" s="37">
        <v>0.35</v>
      </c>
      <c r="F4521" s="54">
        <v>13.141</v>
      </c>
      <c r="G4521" s="54">
        <f t="shared" si="78"/>
        <v>4.5993499999999994</v>
      </c>
      <c r="H4521" s="39">
        <f>SUM(G4521:G4522)</f>
        <v>6.1137099999999993</v>
      </c>
      <c r="I4521" s="40"/>
      <c r="J4521" s="155">
        <v>0</v>
      </c>
    </row>
    <row r="4522" spans="1:10" ht="15" hidden="1" thickBot="1" x14ac:dyDescent="0.35">
      <c r="A4522" s="227"/>
      <c r="B4522" s="224"/>
      <c r="C4522" s="36" t="s">
        <v>1449</v>
      </c>
      <c r="D4522" s="36" t="s">
        <v>744</v>
      </c>
      <c r="E4522" s="37">
        <v>8.5000000000000006E-2</v>
      </c>
      <c r="F4522" s="54">
        <v>17.815999999999999</v>
      </c>
      <c r="G4522" s="54">
        <f t="shared" si="78"/>
        <v>1.5143599999999999</v>
      </c>
      <c r="H4522" s="73"/>
      <c r="I4522" s="74"/>
      <c r="J4522" s="155">
        <v>0</v>
      </c>
    </row>
    <row r="4523" spans="1:10" ht="15" hidden="1" thickBot="1" x14ac:dyDescent="0.35">
      <c r="A4523" s="227"/>
      <c r="B4523" s="224"/>
      <c r="C4523" s="36"/>
      <c r="D4523" s="36"/>
      <c r="E4523" s="37"/>
      <c r="F4523" s="54" t="s">
        <v>560</v>
      </c>
      <c r="G4523" s="54" t="str">
        <f t="shared" si="78"/>
        <v/>
      </c>
      <c r="H4523" s="73"/>
      <c r="I4523" s="74"/>
      <c r="J4523" s="155">
        <v>0</v>
      </c>
    </row>
    <row r="4524" spans="1:10" ht="27" hidden="1" thickBot="1" x14ac:dyDescent="0.35">
      <c r="A4524" s="227"/>
      <c r="B4524" s="224"/>
      <c r="C4524" s="48" t="s">
        <v>1450</v>
      </c>
      <c r="D4524" s="36"/>
      <c r="E4524" s="37"/>
      <c r="F4524" s="54" t="s">
        <v>560</v>
      </c>
      <c r="G4524" s="54" t="str">
        <f t="shared" si="78"/>
        <v/>
      </c>
      <c r="H4524" s="73"/>
      <c r="I4524" s="74"/>
      <c r="J4524" s="155">
        <v>0</v>
      </c>
    </row>
    <row r="4525" spans="1:10" ht="15" hidden="1" thickBot="1" x14ac:dyDescent="0.35">
      <c r="A4525" s="227"/>
      <c r="B4525" s="224"/>
      <c r="C4525" s="153" t="s">
        <v>1451</v>
      </c>
      <c r="D4525" s="36"/>
      <c r="E4525" s="37"/>
      <c r="F4525" s="54" t="s">
        <v>560</v>
      </c>
      <c r="G4525" s="54" t="str">
        <f t="shared" si="78"/>
        <v/>
      </c>
      <c r="H4525" s="73"/>
      <c r="I4525" s="74"/>
      <c r="J4525" s="155">
        <v>0</v>
      </c>
    </row>
    <row r="4526" spans="1:10" ht="15" hidden="1" thickBot="1" x14ac:dyDescent="0.35">
      <c r="A4526" s="228"/>
      <c r="B4526" s="225"/>
      <c r="C4526" s="36"/>
      <c r="D4526" s="36"/>
      <c r="E4526" s="37"/>
      <c r="F4526" s="54" t="s">
        <v>560</v>
      </c>
      <c r="G4526" s="54" t="str">
        <f t="shared" si="78"/>
        <v/>
      </c>
      <c r="H4526" s="73"/>
      <c r="I4526" s="74"/>
      <c r="J4526" s="155">
        <v>0</v>
      </c>
    </row>
    <row r="4527" spans="1:10" ht="15" hidden="1" thickBot="1" x14ac:dyDescent="0.35">
      <c r="A4527" s="226" t="s">
        <v>1452</v>
      </c>
      <c r="B4527" s="223" t="e">
        <f>INDEX(#REF!,MATCH(Composições!A4527,#REF!,0),2)</f>
        <v>#REF!</v>
      </c>
      <c r="C4527" s="41"/>
      <c r="D4527" s="26" t="e">
        <f>TRIM(INDEX(#REF!,MATCH(Composições!A4527,#REF!,0),1))</f>
        <v>#REF!</v>
      </c>
      <c r="E4527" s="27"/>
      <c r="F4527" s="49" t="s">
        <v>560</v>
      </c>
      <c r="G4527" s="28" t="str">
        <f t="shared" si="78"/>
        <v/>
      </c>
      <c r="H4527" s="29"/>
      <c r="I4527" s="30"/>
      <c r="J4527" s="155">
        <v>0</v>
      </c>
    </row>
    <row r="4528" spans="1:10" ht="15" hidden="1" thickBot="1" x14ac:dyDescent="0.35">
      <c r="A4528" s="227"/>
      <c r="B4528" s="224"/>
      <c r="C4528" s="32"/>
      <c r="D4528" s="32"/>
      <c r="E4528" s="33"/>
      <c r="F4528" s="54" t="s">
        <v>560</v>
      </c>
      <c r="G4528" s="54" t="str">
        <f t="shared" si="78"/>
        <v/>
      </c>
      <c r="H4528" s="73"/>
      <c r="I4528" s="74"/>
      <c r="J4528" s="155">
        <v>0</v>
      </c>
    </row>
    <row r="4529" spans="1:10" ht="15" hidden="1" thickBot="1" x14ac:dyDescent="0.35">
      <c r="A4529" s="227"/>
      <c r="B4529" s="224"/>
      <c r="C4529" s="36" t="s">
        <v>1453</v>
      </c>
      <c r="D4529" s="36" t="s">
        <v>939</v>
      </c>
      <c r="E4529" s="37">
        <v>2</v>
      </c>
      <c r="F4529" s="54">
        <v>47.438499999999998</v>
      </c>
      <c r="G4529" s="54">
        <f t="shared" si="78"/>
        <v>94.876999999999995</v>
      </c>
      <c r="H4529" s="39">
        <f>SUM(G4529:G4531)</f>
        <v>106.25727599999999</v>
      </c>
      <c r="I4529" s="40"/>
      <c r="J4529" s="155">
        <v>0</v>
      </c>
    </row>
    <row r="4530" spans="1:10" ht="15" hidden="1" thickBot="1" x14ac:dyDescent="0.35">
      <c r="A4530" s="227"/>
      <c r="B4530" s="224"/>
      <c r="C4530" s="36" t="s">
        <v>1449</v>
      </c>
      <c r="D4530" s="36" t="s">
        <v>744</v>
      </c>
      <c r="E4530" s="37">
        <v>9.6000000000000002E-2</v>
      </c>
      <c r="F4530" s="54">
        <v>17.815999999999999</v>
      </c>
      <c r="G4530" s="54">
        <f t="shared" si="78"/>
        <v>1.7103359999999999</v>
      </c>
      <c r="H4530" s="73"/>
      <c r="I4530" s="74"/>
      <c r="J4530" s="155">
        <v>0</v>
      </c>
    </row>
    <row r="4531" spans="1:10" ht="15" hidden="1" thickBot="1" x14ac:dyDescent="0.35">
      <c r="A4531" s="227"/>
      <c r="B4531" s="224"/>
      <c r="C4531" s="36" t="s">
        <v>1057</v>
      </c>
      <c r="D4531" s="36" t="s">
        <v>744</v>
      </c>
      <c r="E4531" s="37">
        <v>0.47599999999999998</v>
      </c>
      <c r="F4531" s="54">
        <v>20.314999999999998</v>
      </c>
      <c r="G4531" s="54">
        <f t="shared" si="78"/>
        <v>9.6699399999999986</v>
      </c>
      <c r="H4531" s="73"/>
      <c r="I4531" s="74"/>
      <c r="J4531" s="155">
        <v>0</v>
      </c>
    </row>
    <row r="4532" spans="1:10" ht="15" hidden="1" thickBot="1" x14ac:dyDescent="0.35">
      <c r="A4532" s="227"/>
      <c r="B4532" s="224"/>
      <c r="C4532" s="36"/>
      <c r="D4532" s="36"/>
      <c r="E4532" s="37"/>
      <c r="F4532" s="54" t="s">
        <v>560</v>
      </c>
      <c r="G4532" s="54" t="str">
        <f t="shared" si="78"/>
        <v/>
      </c>
      <c r="H4532" s="73"/>
      <c r="I4532" s="74"/>
      <c r="J4532" s="155">
        <v>0</v>
      </c>
    </row>
    <row r="4533" spans="1:10" ht="15" hidden="1" thickBot="1" x14ac:dyDescent="0.35">
      <c r="A4533" s="226" t="s">
        <v>1454</v>
      </c>
      <c r="B4533" s="223" t="e">
        <f>INDEX(#REF!,MATCH(Composições!A4533,#REF!,0),2)</f>
        <v>#REF!</v>
      </c>
      <c r="C4533" s="41"/>
      <c r="D4533" s="26" t="e">
        <f>TRIM(INDEX(#REF!,MATCH(Composições!A4533,#REF!,0),1))</f>
        <v>#REF!</v>
      </c>
      <c r="E4533" s="27"/>
      <c r="F4533" s="49" t="s">
        <v>560</v>
      </c>
      <c r="G4533" s="28" t="str">
        <f t="shared" si="78"/>
        <v/>
      </c>
      <c r="H4533" s="29"/>
      <c r="I4533" s="30"/>
      <c r="J4533" s="155">
        <v>0</v>
      </c>
    </row>
    <row r="4534" spans="1:10" ht="15" hidden="1" thickBot="1" x14ac:dyDescent="0.35">
      <c r="A4534" s="227"/>
      <c r="B4534" s="224"/>
      <c r="C4534" s="32"/>
      <c r="D4534" s="32"/>
      <c r="E4534" s="33"/>
      <c r="F4534" s="54" t="s">
        <v>560</v>
      </c>
      <c r="G4534" s="54" t="str">
        <f t="shared" si="78"/>
        <v/>
      </c>
      <c r="H4534" s="73"/>
      <c r="I4534" s="74"/>
      <c r="J4534" s="155">
        <v>0</v>
      </c>
    </row>
    <row r="4535" spans="1:10" ht="27" hidden="1" thickBot="1" x14ac:dyDescent="0.35">
      <c r="A4535" s="227"/>
      <c r="B4535" s="224"/>
      <c r="C4535" s="36" t="s">
        <v>1448</v>
      </c>
      <c r="D4535" s="36" t="s">
        <v>103</v>
      </c>
      <c r="E4535" s="37">
        <v>0.61499999999999999</v>
      </c>
      <c r="F4535" s="54">
        <v>13.141</v>
      </c>
      <c r="G4535" s="54">
        <f t="shared" si="78"/>
        <v>8.0817149999999991</v>
      </c>
      <c r="H4535" s="39">
        <f>SUM(G4535:G4539)</f>
        <v>78.075746999999978</v>
      </c>
      <c r="I4535" s="40"/>
      <c r="J4535" s="155">
        <v>0</v>
      </c>
    </row>
    <row r="4536" spans="1:10" ht="27" hidden="1" thickBot="1" x14ac:dyDescent="0.35">
      <c r="A4536" s="227"/>
      <c r="B4536" s="224"/>
      <c r="C4536" s="36" t="s">
        <v>1455</v>
      </c>
      <c r="D4536" s="36" t="s">
        <v>1035</v>
      </c>
      <c r="E4536" s="37">
        <v>1.125</v>
      </c>
      <c r="F4536" s="54">
        <v>40.595999999999997</v>
      </c>
      <c r="G4536" s="54">
        <f t="shared" si="78"/>
        <v>45.670499999999997</v>
      </c>
      <c r="H4536" s="73"/>
      <c r="I4536" s="74"/>
      <c r="J4536" s="155">
        <v>0</v>
      </c>
    </row>
    <row r="4537" spans="1:10" ht="15" hidden="1" thickBot="1" x14ac:dyDescent="0.35">
      <c r="A4537" s="227"/>
      <c r="B4537" s="224"/>
      <c r="C4537" s="36" t="s">
        <v>1456</v>
      </c>
      <c r="D4537" s="36" t="s">
        <v>939</v>
      </c>
      <c r="E4537" s="37">
        <v>0.26</v>
      </c>
      <c r="F4537" s="54">
        <v>6.3239999999999998</v>
      </c>
      <c r="G4537" s="54">
        <f t="shared" si="78"/>
        <v>1.6442399999999999</v>
      </c>
      <c r="H4537" s="73"/>
      <c r="I4537" s="74"/>
      <c r="J4537" s="155">
        <v>0</v>
      </c>
    </row>
    <row r="4538" spans="1:10" ht="15" hidden="1" thickBot="1" x14ac:dyDescent="0.35">
      <c r="A4538" s="227"/>
      <c r="B4538" s="224"/>
      <c r="C4538" s="36" t="s">
        <v>1449</v>
      </c>
      <c r="D4538" s="36" t="s">
        <v>744</v>
      </c>
      <c r="E4538" s="37">
        <v>0.192</v>
      </c>
      <c r="F4538" s="54">
        <v>17.815999999999999</v>
      </c>
      <c r="G4538" s="54">
        <f t="shared" si="78"/>
        <v>3.4206719999999997</v>
      </c>
      <c r="H4538" s="73"/>
      <c r="I4538" s="74"/>
      <c r="J4538" s="155">
        <v>0</v>
      </c>
    </row>
    <row r="4539" spans="1:10" ht="15" hidden="1" thickBot="1" x14ac:dyDescent="0.35">
      <c r="A4539" s="227"/>
      <c r="B4539" s="224"/>
      <c r="C4539" s="36" t="s">
        <v>1057</v>
      </c>
      <c r="D4539" s="36" t="s">
        <v>744</v>
      </c>
      <c r="E4539" s="37">
        <v>0.94799999999999995</v>
      </c>
      <c r="F4539" s="54">
        <v>20.314999999999998</v>
      </c>
      <c r="G4539" s="54">
        <f t="shared" si="78"/>
        <v>19.258619999999997</v>
      </c>
      <c r="H4539" s="73"/>
      <c r="I4539" s="74"/>
      <c r="J4539" s="155">
        <v>0</v>
      </c>
    </row>
    <row r="4540" spans="1:10" ht="15" hidden="1" thickBot="1" x14ac:dyDescent="0.35">
      <c r="A4540" s="227"/>
      <c r="B4540" s="224"/>
      <c r="C4540" s="36"/>
      <c r="D4540" s="36"/>
      <c r="E4540" s="37"/>
      <c r="F4540" s="54" t="s">
        <v>560</v>
      </c>
      <c r="G4540" s="54" t="str">
        <f t="shared" si="78"/>
        <v/>
      </c>
      <c r="H4540" s="73"/>
      <c r="I4540" s="74"/>
      <c r="J4540" s="155">
        <v>0</v>
      </c>
    </row>
    <row r="4541" spans="1:10" ht="15" hidden="1" thickBot="1" x14ac:dyDescent="0.35">
      <c r="A4541" s="226" t="s">
        <v>1457</v>
      </c>
      <c r="B4541" s="223" t="e">
        <f>INDEX(#REF!,MATCH(Composições!A4541,#REF!,0),2)</f>
        <v>#REF!</v>
      </c>
      <c r="C4541" s="41"/>
      <c r="D4541" s="26" t="e">
        <f>TRIM(INDEX(#REF!,MATCH(Composições!A4541,#REF!,0),1))</f>
        <v>#REF!</v>
      </c>
      <c r="E4541" s="27"/>
      <c r="F4541" s="49" t="s">
        <v>560</v>
      </c>
      <c r="G4541" s="28" t="str">
        <f t="shared" si="78"/>
        <v/>
      </c>
      <c r="H4541" s="29"/>
      <c r="I4541" s="30"/>
      <c r="J4541" s="155">
        <v>0</v>
      </c>
    </row>
    <row r="4542" spans="1:10" ht="15" hidden="1" thickBot="1" x14ac:dyDescent="0.35">
      <c r="A4542" s="227"/>
      <c r="B4542" s="224"/>
      <c r="C4542" s="32"/>
      <c r="D4542" s="32"/>
      <c r="E4542" s="33"/>
      <c r="F4542" s="54" t="s">
        <v>560</v>
      </c>
      <c r="G4542" s="54" t="str">
        <f t="shared" si="78"/>
        <v/>
      </c>
      <c r="H4542" s="73"/>
      <c r="I4542" s="74"/>
      <c r="J4542" s="155">
        <v>0</v>
      </c>
    </row>
    <row r="4543" spans="1:10" ht="27" hidden="1" thickBot="1" x14ac:dyDescent="0.35">
      <c r="A4543" s="227"/>
      <c r="B4543" s="224"/>
      <c r="C4543" s="36" t="s">
        <v>1448</v>
      </c>
      <c r="D4543" s="36" t="s">
        <v>103</v>
      </c>
      <c r="E4543" s="37">
        <v>0.61499999999999999</v>
      </c>
      <c r="F4543" s="54">
        <v>13.141</v>
      </c>
      <c r="G4543" s="54">
        <f t="shared" si="78"/>
        <v>8.0817149999999991</v>
      </c>
      <c r="H4543" s="39">
        <f>SUM(G4543:G4547)</f>
        <v>32.405246999999996</v>
      </c>
      <c r="I4543" s="40"/>
      <c r="J4543" s="155">
        <v>0</v>
      </c>
    </row>
    <row r="4544" spans="1:10" ht="15" hidden="1" thickBot="1" x14ac:dyDescent="0.35">
      <c r="A4544" s="227"/>
      <c r="B4544" s="224"/>
      <c r="C4544" s="36" t="s">
        <v>1458</v>
      </c>
      <c r="D4544" s="36" t="s">
        <v>1035</v>
      </c>
      <c r="E4544" s="37">
        <v>1.125</v>
      </c>
      <c r="F4544" s="54">
        <v>0</v>
      </c>
      <c r="G4544" s="54">
        <f t="shared" si="78"/>
        <v>0</v>
      </c>
      <c r="H4544" s="73"/>
      <c r="I4544" s="74"/>
      <c r="J4544" s="155">
        <v>0</v>
      </c>
    </row>
    <row r="4545" spans="1:10" ht="15" hidden="1" thickBot="1" x14ac:dyDescent="0.35">
      <c r="A4545" s="227"/>
      <c r="B4545" s="224"/>
      <c r="C4545" s="36" t="s">
        <v>1456</v>
      </c>
      <c r="D4545" s="36" t="s">
        <v>939</v>
      </c>
      <c r="E4545" s="37">
        <v>0.26</v>
      </c>
      <c r="F4545" s="54">
        <v>6.3239999999999998</v>
      </c>
      <c r="G4545" s="54">
        <f t="shared" si="78"/>
        <v>1.6442399999999999</v>
      </c>
      <c r="H4545" s="73"/>
      <c r="I4545" s="74"/>
      <c r="J4545" s="155">
        <v>0</v>
      </c>
    </row>
    <row r="4546" spans="1:10" ht="15" hidden="1" thickBot="1" x14ac:dyDescent="0.35">
      <c r="A4546" s="227"/>
      <c r="B4546" s="224"/>
      <c r="C4546" s="36" t="s">
        <v>1449</v>
      </c>
      <c r="D4546" s="36" t="s">
        <v>744</v>
      </c>
      <c r="E4546" s="37">
        <v>0.192</v>
      </c>
      <c r="F4546" s="54">
        <v>17.815999999999999</v>
      </c>
      <c r="G4546" s="54">
        <f t="shared" si="78"/>
        <v>3.4206719999999997</v>
      </c>
      <c r="H4546" s="73"/>
      <c r="I4546" s="74"/>
      <c r="J4546" s="155">
        <v>0</v>
      </c>
    </row>
    <row r="4547" spans="1:10" ht="15" hidden="1" thickBot="1" x14ac:dyDescent="0.35">
      <c r="A4547" s="227"/>
      <c r="B4547" s="224"/>
      <c r="C4547" s="36" t="s">
        <v>1057</v>
      </c>
      <c r="D4547" s="36" t="s">
        <v>744</v>
      </c>
      <c r="E4547" s="37">
        <v>0.94799999999999995</v>
      </c>
      <c r="F4547" s="54">
        <v>20.314999999999998</v>
      </c>
      <c r="G4547" s="54">
        <f t="shared" si="78"/>
        <v>19.258619999999997</v>
      </c>
      <c r="H4547" s="73"/>
      <c r="I4547" s="74"/>
      <c r="J4547" s="155">
        <v>0</v>
      </c>
    </row>
    <row r="4548" spans="1:10" ht="15" hidden="1" thickBot="1" x14ac:dyDescent="0.35">
      <c r="A4548" s="227"/>
      <c r="B4548" s="224"/>
      <c r="C4548" s="36"/>
      <c r="D4548" s="36"/>
      <c r="E4548" s="37"/>
      <c r="F4548" s="54" t="s">
        <v>560</v>
      </c>
      <c r="G4548" s="54" t="str">
        <f t="shared" si="78"/>
        <v/>
      </c>
      <c r="H4548" s="73"/>
      <c r="I4548" s="74"/>
      <c r="J4548" s="155">
        <v>0</v>
      </c>
    </row>
    <row r="4549" spans="1:10" ht="15" hidden="1" thickBot="1" x14ac:dyDescent="0.35">
      <c r="A4549" s="226" t="s">
        <v>1459</v>
      </c>
      <c r="B4549" s="223" t="e">
        <f>INDEX(#REF!,MATCH(Composições!A4549,#REF!,0),2)</f>
        <v>#REF!</v>
      </c>
      <c r="C4549" s="41"/>
      <c r="D4549" s="26" t="e">
        <f>TRIM(INDEX(#REF!,MATCH(Composições!A4549,#REF!,0),1))</f>
        <v>#REF!</v>
      </c>
      <c r="E4549" s="27"/>
      <c r="F4549" s="49" t="s">
        <v>560</v>
      </c>
      <c r="G4549" s="28" t="str">
        <f t="shared" si="78"/>
        <v/>
      </c>
      <c r="H4549" s="29"/>
      <c r="I4549" s="30"/>
      <c r="J4549" s="155">
        <v>0</v>
      </c>
    </row>
    <row r="4550" spans="1:10" ht="15" hidden="1" thickBot="1" x14ac:dyDescent="0.35">
      <c r="A4550" s="227"/>
      <c r="B4550" s="224"/>
      <c r="C4550" s="32"/>
      <c r="D4550" s="32"/>
      <c r="E4550" s="33"/>
      <c r="F4550" s="54" t="s">
        <v>560</v>
      </c>
      <c r="G4550" s="54" t="str">
        <f t="shared" si="78"/>
        <v/>
      </c>
      <c r="H4550" s="73"/>
      <c r="I4550" s="74"/>
      <c r="J4550" s="155">
        <v>0</v>
      </c>
    </row>
    <row r="4551" spans="1:10" ht="15" hidden="1" thickBot="1" x14ac:dyDescent="0.35">
      <c r="A4551" s="227"/>
      <c r="B4551" s="224"/>
      <c r="C4551" s="36" t="s">
        <v>1057</v>
      </c>
      <c r="D4551" s="36" t="s">
        <v>744</v>
      </c>
      <c r="E4551" s="37">
        <v>0.5</v>
      </c>
      <c r="F4551" s="54">
        <v>20.314999999999998</v>
      </c>
      <c r="G4551" s="54">
        <f t="shared" si="78"/>
        <v>10.157499999999999</v>
      </c>
      <c r="H4551" s="39">
        <f>SUM(G4551:G4557)</f>
        <v>19.0655</v>
      </c>
      <c r="I4551" s="40"/>
      <c r="J4551" s="155">
        <v>0</v>
      </c>
    </row>
    <row r="4552" spans="1:10" ht="15" hidden="1" thickBot="1" x14ac:dyDescent="0.35">
      <c r="A4552" s="227"/>
      <c r="B4552" s="224"/>
      <c r="C4552" s="36" t="s">
        <v>1449</v>
      </c>
      <c r="D4552" s="36" t="s">
        <v>744</v>
      </c>
      <c r="E4552" s="37">
        <v>0.5</v>
      </c>
      <c r="F4552" s="54">
        <v>17.815999999999999</v>
      </c>
      <c r="G4552" s="54">
        <f t="shared" si="78"/>
        <v>8.9079999999999995</v>
      </c>
      <c r="H4552" s="73"/>
      <c r="I4552" s="74"/>
      <c r="J4552" s="155">
        <v>0</v>
      </c>
    </row>
    <row r="4553" spans="1:10" ht="15" hidden="1" thickBot="1" x14ac:dyDescent="0.35">
      <c r="A4553" s="227"/>
      <c r="B4553" s="224"/>
      <c r="C4553" s="36" t="s">
        <v>1460</v>
      </c>
      <c r="D4553" s="36" t="s">
        <v>939</v>
      </c>
      <c r="E4553" s="37">
        <v>0.8</v>
      </c>
      <c r="F4553" s="54">
        <v>0</v>
      </c>
      <c r="G4553" s="54">
        <f t="shared" si="78"/>
        <v>0</v>
      </c>
      <c r="H4553" s="73"/>
      <c r="I4553" s="74"/>
      <c r="J4553" s="155">
        <v>0</v>
      </c>
    </row>
    <row r="4554" spans="1:10" ht="15" hidden="1" thickBot="1" x14ac:dyDescent="0.35">
      <c r="A4554" s="227"/>
      <c r="B4554" s="224"/>
      <c r="C4554" s="36" t="s">
        <v>1461</v>
      </c>
      <c r="D4554" s="36" t="s">
        <v>103</v>
      </c>
      <c r="E4554" s="37">
        <v>0.6</v>
      </c>
      <c r="F4554" s="54">
        <v>0</v>
      </c>
      <c r="G4554" s="54">
        <f t="shared" si="78"/>
        <v>0</v>
      </c>
      <c r="H4554" s="73"/>
      <c r="I4554" s="74"/>
      <c r="J4554" s="155">
        <v>0</v>
      </c>
    </row>
    <row r="4555" spans="1:10" ht="15" hidden="1" thickBot="1" x14ac:dyDescent="0.35">
      <c r="A4555" s="227"/>
      <c r="B4555" s="224"/>
      <c r="C4555" s="36" t="s">
        <v>1462</v>
      </c>
      <c r="D4555" s="36" t="s">
        <v>95</v>
      </c>
      <c r="E4555" s="37">
        <v>1.1000000000000001</v>
      </c>
      <c r="F4555" s="54">
        <v>0</v>
      </c>
      <c r="G4555" s="54">
        <f t="shared" si="78"/>
        <v>0</v>
      </c>
      <c r="H4555" s="73"/>
      <c r="I4555" s="74"/>
      <c r="J4555" s="155">
        <v>0</v>
      </c>
    </row>
    <row r="4556" spans="1:10" ht="15" hidden="1" thickBot="1" x14ac:dyDescent="0.35">
      <c r="A4556" s="227"/>
      <c r="B4556" s="224"/>
      <c r="C4556" s="36" t="s">
        <v>1463</v>
      </c>
      <c r="D4556" s="36" t="s">
        <v>93</v>
      </c>
      <c r="E4556" s="37">
        <v>2</v>
      </c>
      <c r="F4556" s="54">
        <v>0</v>
      </c>
      <c r="G4556" s="54">
        <f t="shared" si="78"/>
        <v>0</v>
      </c>
      <c r="H4556" s="73"/>
      <c r="I4556" s="74"/>
      <c r="J4556" s="155">
        <v>0</v>
      </c>
    </row>
    <row r="4557" spans="1:10" ht="15" hidden="1" thickBot="1" x14ac:dyDescent="0.35">
      <c r="A4557" s="227"/>
      <c r="B4557" s="224"/>
      <c r="C4557" s="36" t="s">
        <v>1464</v>
      </c>
      <c r="D4557" s="36" t="s">
        <v>103</v>
      </c>
      <c r="E4557" s="37">
        <v>0.2</v>
      </c>
      <c r="F4557" s="54">
        <v>0</v>
      </c>
      <c r="G4557" s="54">
        <f t="shared" si="78"/>
        <v>0</v>
      </c>
      <c r="H4557" s="73"/>
      <c r="I4557" s="74"/>
      <c r="J4557" s="155">
        <v>0</v>
      </c>
    </row>
    <row r="4558" spans="1:10" ht="15" hidden="1" thickBot="1" x14ac:dyDescent="0.35">
      <c r="A4558" s="227"/>
      <c r="B4558" s="224"/>
      <c r="C4558" s="36"/>
      <c r="D4558" s="36"/>
      <c r="E4558" s="37"/>
      <c r="F4558" s="54" t="s">
        <v>560</v>
      </c>
      <c r="G4558" s="54" t="str">
        <f t="shared" si="78"/>
        <v/>
      </c>
      <c r="H4558" s="73"/>
      <c r="I4558" s="74"/>
      <c r="J4558" s="155">
        <v>0</v>
      </c>
    </row>
    <row r="4559" spans="1:10" ht="15" hidden="1" thickBot="1" x14ac:dyDescent="0.35">
      <c r="A4559" s="226" t="s">
        <v>1465</v>
      </c>
      <c r="B4559" s="223" t="e">
        <f>INDEX(#REF!,MATCH(Composições!A4559,#REF!,0),2)</f>
        <v>#REF!</v>
      </c>
      <c r="C4559" s="41"/>
      <c r="D4559" s="26" t="e">
        <f>TRIM(INDEX(#REF!,MATCH(Composições!A4559,#REF!,0),1))</f>
        <v>#REF!</v>
      </c>
      <c r="E4559" s="27"/>
      <c r="F4559" s="49" t="s">
        <v>560</v>
      </c>
      <c r="G4559" s="28" t="str">
        <f t="shared" si="78"/>
        <v/>
      </c>
      <c r="H4559" s="29"/>
      <c r="I4559" s="30"/>
      <c r="J4559" s="155">
        <v>0</v>
      </c>
    </row>
    <row r="4560" spans="1:10" ht="15" hidden="1" thickBot="1" x14ac:dyDescent="0.35">
      <c r="A4560" s="227"/>
      <c r="B4560" s="224"/>
      <c r="C4560" s="32"/>
      <c r="D4560" s="32"/>
      <c r="E4560" s="33"/>
      <c r="F4560" s="54" t="s">
        <v>560</v>
      </c>
      <c r="G4560" s="54" t="str">
        <f t="shared" si="78"/>
        <v/>
      </c>
      <c r="H4560" s="73"/>
      <c r="I4560" s="74"/>
      <c r="J4560" s="155">
        <v>0</v>
      </c>
    </row>
    <row r="4561" spans="1:10" ht="15" hidden="1" thickBot="1" x14ac:dyDescent="0.35">
      <c r="A4561" s="227"/>
      <c r="B4561" s="224"/>
      <c r="C4561" s="36" t="s">
        <v>1466</v>
      </c>
      <c r="D4561" s="36" t="s">
        <v>939</v>
      </c>
      <c r="E4561" s="37">
        <v>1.2</v>
      </c>
      <c r="F4561" s="54">
        <v>18.368499999999997</v>
      </c>
      <c r="G4561" s="54">
        <f t="shared" si="78"/>
        <v>22.042199999999998</v>
      </c>
      <c r="H4561" s="39">
        <f>SUM(G4561:G4563)</f>
        <v>35.868741999999997</v>
      </c>
      <c r="I4561" s="40"/>
      <c r="J4561" s="155">
        <v>0</v>
      </c>
    </row>
    <row r="4562" spans="1:10" ht="15" hidden="1" thickBot="1" x14ac:dyDescent="0.35">
      <c r="A4562" s="227"/>
      <c r="B4562" s="224"/>
      <c r="C4562" s="36" t="s">
        <v>1449</v>
      </c>
      <c r="D4562" s="36" t="s">
        <v>744</v>
      </c>
      <c r="E4562" s="37">
        <v>0.11700000000000001</v>
      </c>
      <c r="F4562" s="54">
        <v>17.815999999999999</v>
      </c>
      <c r="G4562" s="54">
        <f t="shared" si="78"/>
        <v>2.0844719999999999</v>
      </c>
      <c r="H4562" s="73"/>
      <c r="I4562" s="74"/>
      <c r="J4562" s="155">
        <v>0</v>
      </c>
    </row>
    <row r="4563" spans="1:10" ht="15" hidden="1" thickBot="1" x14ac:dyDescent="0.35">
      <c r="A4563" s="227"/>
      <c r="B4563" s="224"/>
      <c r="C4563" s="36" t="s">
        <v>1057</v>
      </c>
      <c r="D4563" s="36" t="s">
        <v>744</v>
      </c>
      <c r="E4563" s="37">
        <v>0.57799999999999996</v>
      </c>
      <c r="F4563" s="54">
        <v>20.314999999999998</v>
      </c>
      <c r="G4563" s="54">
        <f t="shared" si="78"/>
        <v>11.742069999999998</v>
      </c>
      <c r="H4563" s="73"/>
      <c r="I4563" s="74"/>
      <c r="J4563" s="155">
        <v>0</v>
      </c>
    </row>
    <row r="4564" spans="1:10" ht="15" hidden="1" thickBot="1" x14ac:dyDescent="0.35">
      <c r="A4564" s="227"/>
      <c r="B4564" s="224"/>
      <c r="C4564" s="36"/>
      <c r="D4564" s="36"/>
      <c r="E4564" s="37"/>
      <c r="F4564" s="54" t="s">
        <v>560</v>
      </c>
      <c r="G4564" s="54" t="str">
        <f t="shared" si="78"/>
        <v/>
      </c>
      <c r="H4564" s="73"/>
      <c r="I4564" s="74"/>
      <c r="J4564" s="155">
        <v>0</v>
      </c>
    </row>
    <row r="4565" spans="1:10" ht="15" hidden="1" thickBot="1" x14ac:dyDescent="0.35">
      <c r="A4565" s="226" t="s">
        <v>1467</v>
      </c>
      <c r="B4565" s="223" t="e">
        <f>INDEX(#REF!,MATCH(Composições!A4565,#REF!,0),2)</f>
        <v>#REF!</v>
      </c>
      <c r="C4565" s="41"/>
      <c r="D4565" s="26" t="e">
        <f>TRIM(INDEX(#REF!,MATCH(Composições!A4565,#REF!,0),1))</f>
        <v>#REF!</v>
      </c>
      <c r="E4565" s="27"/>
      <c r="F4565" s="49" t="s">
        <v>560</v>
      </c>
      <c r="G4565" s="28" t="str">
        <f t="shared" si="78"/>
        <v/>
      </c>
      <c r="H4565" s="29"/>
      <c r="I4565" s="30"/>
      <c r="J4565" s="155">
        <v>0</v>
      </c>
    </row>
    <row r="4566" spans="1:10" ht="15" hidden="1" thickBot="1" x14ac:dyDescent="0.35">
      <c r="A4566" s="227"/>
      <c r="B4566" s="224"/>
      <c r="C4566" s="32"/>
      <c r="D4566" s="32"/>
      <c r="E4566" s="33"/>
      <c r="F4566" s="54" t="s">
        <v>560</v>
      </c>
      <c r="G4566" s="54" t="str">
        <f t="shared" si="78"/>
        <v/>
      </c>
      <c r="H4566" s="73"/>
      <c r="I4566" s="74"/>
      <c r="J4566" s="155">
        <v>0</v>
      </c>
    </row>
    <row r="4567" spans="1:10" ht="15" hidden="1" thickBot="1" x14ac:dyDescent="0.35">
      <c r="A4567" s="227"/>
      <c r="B4567" s="224"/>
      <c r="C4567" s="36" t="s">
        <v>1468</v>
      </c>
      <c r="D4567" s="36" t="s">
        <v>939</v>
      </c>
      <c r="E4567" s="37">
        <v>3</v>
      </c>
      <c r="F4567" s="54" t="s">
        <v>560</v>
      </c>
      <c r="G4567" s="54" t="str">
        <f t="shared" si="78"/>
        <v/>
      </c>
      <c r="H4567" s="39">
        <f>SUM(G4567:G4568)</f>
        <v>4.0629999999999997</v>
      </c>
      <c r="I4567" s="40"/>
      <c r="J4567" s="155">
        <v>0</v>
      </c>
    </row>
    <row r="4568" spans="1:10" ht="15" hidden="1" thickBot="1" x14ac:dyDescent="0.35">
      <c r="A4568" s="227"/>
      <c r="B4568" s="224"/>
      <c r="C4568" s="36" t="s">
        <v>1057</v>
      </c>
      <c r="D4568" s="36" t="s">
        <v>744</v>
      </c>
      <c r="E4568" s="37">
        <v>0.2</v>
      </c>
      <c r="F4568" s="54">
        <v>20.314999999999998</v>
      </c>
      <c r="G4568" s="54">
        <f t="shared" si="78"/>
        <v>4.0629999999999997</v>
      </c>
      <c r="H4568" s="73"/>
      <c r="I4568" s="74"/>
      <c r="J4568" s="155">
        <v>0</v>
      </c>
    </row>
    <row r="4569" spans="1:10" ht="15" hidden="1" thickBot="1" x14ac:dyDescent="0.35">
      <c r="A4569" s="227"/>
      <c r="B4569" s="224"/>
      <c r="C4569" s="36"/>
      <c r="D4569" s="36"/>
      <c r="E4569" s="37"/>
      <c r="F4569" s="54" t="s">
        <v>560</v>
      </c>
      <c r="G4569" s="54" t="str">
        <f t="shared" si="78"/>
        <v/>
      </c>
      <c r="H4569" s="73"/>
      <c r="I4569" s="74"/>
      <c r="J4569" s="155">
        <v>0</v>
      </c>
    </row>
    <row r="4570" spans="1:10" ht="27" hidden="1" thickBot="1" x14ac:dyDescent="0.35">
      <c r="A4570" s="227"/>
      <c r="B4570" s="224"/>
      <c r="C4570" s="48" t="s">
        <v>1469</v>
      </c>
      <c r="D4570" s="36"/>
      <c r="E4570" s="37"/>
      <c r="F4570" s="54" t="s">
        <v>560</v>
      </c>
      <c r="G4570" s="54" t="str">
        <f t="shared" si="78"/>
        <v/>
      </c>
      <c r="H4570" s="73"/>
      <c r="I4570" s="74"/>
      <c r="J4570" s="155">
        <v>0</v>
      </c>
    </row>
    <row r="4571" spans="1:10" ht="24.6" hidden="1" thickBot="1" x14ac:dyDescent="0.35">
      <c r="A4571" s="227"/>
      <c r="B4571" s="224"/>
      <c r="C4571" s="154" t="s">
        <v>1470</v>
      </c>
      <c r="D4571" s="36"/>
      <c r="E4571" s="37"/>
      <c r="F4571" s="54" t="s">
        <v>560</v>
      </c>
      <c r="G4571" s="54" t="str">
        <f t="shared" si="78"/>
        <v/>
      </c>
      <c r="H4571" s="73"/>
      <c r="I4571" s="74"/>
      <c r="J4571" s="155">
        <v>0</v>
      </c>
    </row>
    <row r="4572" spans="1:10" ht="15" hidden="1" thickBot="1" x14ac:dyDescent="0.35">
      <c r="A4572" s="227"/>
      <c r="B4572" s="224"/>
      <c r="C4572" s="36"/>
      <c r="D4572" s="36"/>
      <c r="E4572" s="37"/>
      <c r="F4572" s="54" t="s">
        <v>560</v>
      </c>
      <c r="G4572" s="54" t="str">
        <f t="shared" si="78"/>
        <v/>
      </c>
      <c r="H4572" s="73"/>
      <c r="I4572" s="74"/>
      <c r="J4572" s="155">
        <v>0</v>
      </c>
    </row>
    <row r="4573" spans="1:10" ht="15" hidden="1" thickBot="1" x14ac:dyDescent="0.35">
      <c r="A4573" s="226" t="s">
        <v>1471</v>
      </c>
      <c r="B4573" s="223" t="e">
        <f>INDEX(#REF!,MATCH(Composições!A4573,#REF!,0),2)</f>
        <v>#REF!</v>
      </c>
      <c r="C4573" s="41"/>
      <c r="D4573" s="26" t="e">
        <f>TRIM(INDEX(#REF!,MATCH(Composições!A4573,#REF!,0),1))</f>
        <v>#REF!</v>
      </c>
      <c r="E4573" s="27"/>
      <c r="F4573" s="49" t="s">
        <v>560</v>
      </c>
      <c r="G4573" s="28" t="str">
        <f t="shared" si="78"/>
        <v/>
      </c>
      <c r="H4573" s="29"/>
      <c r="I4573" s="30"/>
      <c r="J4573" s="155">
        <v>0</v>
      </c>
    </row>
    <row r="4574" spans="1:10" ht="15" hidden="1" thickBot="1" x14ac:dyDescent="0.35">
      <c r="A4574" s="227"/>
      <c r="B4574" s="224"/>
      <c r="C4574" s="32"/>
      <c r="D4574" s="32"/>
      <c r="E4574" s="33"/>
      <c r="F4574" s="54" t="s">
        <v>560</v>
      </c>
      <c r="G4574" s="54" t="str">
        <f t="shared" si="78"/>
        <v/>
      </c>
      <c r="H4574" s="73"/>
      <c r="I4574" s="74"/>
      <c r="J4574" s="155">
        <v>0</v>
      </c>
    </row>
    <row r="4575" spans="1:10" ht="27" hidden="1" thickBot="1" x14ac:dyDescent="0.35">
      <c r="A4575" s="227"/>
      <c r="B4575" s="224"/>
      <c r="C4575" s="36" t="s">
        <v>1448</v>
      </c>
      <c r="D4575" s="36" t="s">
        <v>103</v>
      </c>
      <c r="E4575" s="37">
        <v>0.61499999999999999</v>
      </c>
      <c r="F4575" s="54">
        <v>13.141</v>
      </c>
      <c r="G4575" s="54">
        <f t="shared" ref="G4575:G4638" si="79">IF(ISNUMBER(F4575),E4575*F4575,"")</f>
        <v>8.0817149999999991</v>
      </c>
      <c r="H4575" s="39">
        <f>SUM(G4575:G4580)</f>
        <v>127.1152305</v>
      </c>
      <c r="I4575" s="40"/>
      <c r="J4575" s="155">
        <v>0</v>
      </c>
    </row>
    <row r="4576" spans="1:10" ht="27" hidden="1" thickBot="1" x14ac:dyDescent="0.35">
      <c r="A4576" s="227"/>
      <c r="B4576" s="224"/>
      <c r="C4576" s="36" t="s">
        <v>1472</v>
      </c>
      <c r="D4576" s="36" t="s">
        <v>1035</v>
      </c>
      <c r="E4576" s="37">
        <v>1.125</v>
      </c>
      <c r="F4576" s="54">
        <v>33.0565</v>
      </c>
      <c r="G4576" s="54">
        <f t="shared" si="79"/>
        <v>37.188562500000003</v>
      </c>
      <c r="H4576" s="73"/>
      <c r="I4576" s="74"/>
      <c r="J4576" s="155">
        <v>0</v>
      </c>
    </row>
    <row r="4577" spans="1:10" ht="27" hidden="1" thickBot="1" x14ac:dyDescent="0.35">
      <c r="A4577" s="227"/>
      <c r="B4577" s="224"/>
      <c r="C4577" s="36" t="s">
        <v>1455</v>
      </c>
      <c r="D4577" s="36" t="s">
        <v>1035</v>
      </c>
      <c r="E4577" s="37">
        <v>1.125</v>
      </c>
      <c r="F4577" s="54">
        <v>40.595999999999997</v>
      </c>
      <c r="G4577" s="54">
        <f t="shared" si="79"/>
        <v>45.670499999999997</v>
      </c>
      <c r="H4577" s="73"/>
      <c r="I4577" s="74"/>
      <c r="J4577" s="155">
        <v>0</v>
      </c>
    </row>
    <row r="4578" spans="1:10" ht="15" hidden="1" thickBot="1" x14ac:dyDescent="0.35">
      <c r="A4578" s="227"/>
      <c r="B4578" s="224"/>
      <c r="C4578" s="36" t="s">
        <v>1456</v>
      </c>
      <c r="D4578" s="36" t="s">
        <v>939</v>
      </c>
      <c r="E4578" s="37">
        <v>0.52</v>
      </c>
      <c r="F4578" s="54">
        <v>6.3239999999999998</v>
      </c>
      <c r="G4578" s="54">
        <f t="shared" si="79"/>
        <v>3.2884799999999998</v>
      </c>
      <c r="H4578" s="73"/>
      <c r="I4578" s="74"/>
      <c r="J4578" s="155">
        <v>0</v>
      </c>
    </row>
    <row r="4579" spans="1:10" ht="15" hidden="1" thickBot="1" x14ac:dyDescent="0.35">
      <c r="A4579" s="227"/>
      <c r="B4579" s="224"/>
      <c r="C4579" s="36" t="s">
        <v>1449</v>
      </c>
      <c r="D4579" s="36" t="s">
        <v>744</v>
      </c>
      <c r="E4579" s="37">
        <v>0.27800000000000002</v>
      </c>
      <c r="F4579" s="54">
        <v>17.815999999999999</v>
      </c>
      <c r="G4579" s="54">
        <f t="shared" si="79"/>
        <v>4.9528480000000004</v>
      </c>
      <c r="H4579" s="73"/>
      <c r="I4579" s="74"/>
      <c r="J4579" s="155">
        <v>0</v>
      </c>
    </row>
    <row r="4580" spans="1:10" ht="15" hidden="1" thickBot="1" x14ac:dyDescent="0.35">
      <c r="A4580" s="227"/>
      <c r="B4580" s="224"/>
      <c r="C4580" s="36" t="s">
        <v>1057</v>
      </c>
      <c r="D4580" s="36" t="s">
        <v>744</v>
      </c>
      <c r="E4580" s="37">
        <v>1.375</v>
      </c>
      <c r="F4580" s="54">
        <v>20.314999999999998</v>
      </c>
      <c r="G4580" s="54">
        <f t="shared" si="79"/>
        <v>27.933124999999997</v>
      </c>
      <c r="H4580" s="73"/>
      <c r="I4580" s="74"/>
      <c r="J4580" s="155">
        <v>0</v>
      </c>
    </row>
    <row r="4581" spans="1:10" ht="15" hidden="1" thickBot="1" x14ac:dyDescent="0.35">
      <c r="A4581" s="227"/>
      <c r="B4581" s="224"/>
      <c r="C4581" s="36"/>
      <c r="D4581" s="36"/>
      <c r="E4581" s="37"/>
      <c r="F4581" s="54" t="s">
        <v>560</v>
      </c>
      <c r="G4581" s="54" t="str">
        <f t="shared" si="79"/>
        <v/>
      </c>
      <c r="H4581" s="73"/>
      <c r="I4581" s="74"/>
      <c r="J4581" s="155">
        <v>0</v>
      </c>
    </row>
    <row r="4582" spans="1:10" ht="15" hidden="1" thickBot="1" x14ac:dyDescent="0.35">
      <c r="A4582" s="226" t="s">
        <v>1473</v>
      </c>
      <c r="B4582" s="223" t="e">
        <f>INDEX(#REF!,MATCH(Composições!A4582,#REF!,0),2)</f>
        <v>#REF!</v>
      </c>
      <c r="C4582" s="41"/>
      <c r="D4582" s="26" t="e">
        <f>TRIM(INDEX(#REF!,MATCH(Composições!A4582,#REF!,0),1))</f>
        <v>#REF!</v>
      </c>
      <c r="E4582" s="27"/>
      <c r="F4582" s="49" t="s">
        <v>560</v>
      </c>
      <c r="G4582" s="28" t="str">
        <f t="shared" si="79"/>
        <v/>
      </c>
      <c r="H4582" s="29"/>
      <c r="I4582" s="30"/>
      <c r="J4582" s="155">
        <v>0</v>
      </c>
    </row>
    <row r="4583" spans="1:10" ht="15" hidden="1" thickBot="1" x14ac:dyDescent="0.35">
      <c r="A4583" s="227"/>
      <c r="B4583" s="224"/>
      <c r="C4583" s="32"/>
      <c r="D4583" s="32"/>
      <c r="E4583" s="33"/>
      <c r="F4583" s="54" t="s">
        <v>560</v>
      </c>
      <c r="G4583" s="54" t="str">
        <f t="shared" si="79"/>
        <v/>
      </c>
      <c r="H4583" s="73"/>
      <c r="I4583" s="74"/>
      <c r="J4583" s="155">
        <v>0</v>
      </c>
    </row>
    <row r="4584" spans="1:10" ht="27" hidden="1" thickBot="1" x14ac:dyDescent="0.35">
      <c r="A4584" s="227"/>
      <c r="B4584" s="224"/>
      <c r="C4584" s="36" t="s">
        <v>1448</v>
      </c>
      <c r="D4584" s="36" t="s">
        <v>103</v>
      </c>
      <c r="E4584" s="37">
        <v>0.61499999999999999</v>
      </c>
      <c r="F4584" s="54">
        <v>13.141</v>
      </c>
      <c r="G4584" s="54">
        <f t="shared" si="79"/>
        <v>8.0817149999999991</v>
      </c>
      <c r="H4584" s="39">
        <f>SUM(G4584:G4589)</f>
        <v>128.77959849999999</v>
      </c>
      <c r="I4584" s="40"/>
      <c r="J4584" s="155">
        <v>0</v>
      </c>
    </row>
    <row r="4585" spans="1:10" ht="27" hidden="1" thickBot="1" x14ac:dyDescent="0.35">
      <c r="A4585" s="227"/>
      <c r="B4585" s="224"/>
      <c r="C4585" s="36" t="s">
        <v>1472</v>
      </c>
      <c r="D4585" s="36" t="s">
        <v>1035</v>
      </c>
      <c r="E4585" s="37">
        <v>1.125</v>
      </c>
      <c r="F4585" s="54">
        <v>33.0565</v>
      </c>
      <c r="G4585" s="54">
        <f t="shared" si="79"/>
        <v>37.188562500000003</v>
      </c>
      <c r="H4585" s="73"/>
      <c r="I4585" s="74"/>
      <c r="J4585" s="155">
        <v>0</v>
      </c>
    </row>
    <row r="4586" spans="1:10" ht="27" hidden="1" thickBot="1" x14ac:dyDescent="0.35">
      <c r="A4586" s="227"/>
      <c r="B4586" s="224"/>
      <c r="C4586" s="36" t="s">
        <v>1455</v>
      </c>
      <c r="D4586" s="36" t="s">
        <v>1035</v>
      </c>
      <c r="E4586" s="37">
        <v>1.125</v>
      </c>
      <c r="F4586" s="54">
        <v>40.595999999999997</v>
      </c>
      <c r="G4586" s="54">
        <f t="shared" si="79"/>
        <v>45.670499999999997</v>
      </c>
      <c r="H4586" s="73"/>
      <c r="I4586" s="74"/>
      <c r="J4586" s="155">
        <v>0</v>
      </c>
    </row>
    <row r="4587" spans="1:10" ht="15" hidden="1" thickBot="1" x14ac:dyDescent="0.35">
      <c r="A4587" s="227"/>
      <c r="B4587" s="224"/>
      <c r="C4587" s="36" t="s">
        <v>1468</v>
      </c>
      <c r="D4587" s="36" t="s">
        <v>939</v>
      </c>
      <c r="E4587" s="37">
        <v>2</v>
      </c>
      <c r="F4587" s="54" t="s">
        <v>560</v>
      </c>
      <c r="G4587" s="54" t="str">
        <f t="shared" si="79"/>
        <v/>
      </c>
      <c r="H4587" s="73"/>
      <c r="I4587" s="74"/>
      <c r="J4587" s="155">
        <v>0</v>
      </c>
    </row>
    <row r="4588" spans="1:10" ht="15" hidden="1" thickBot="1" x14ac:dyDescent="0.35">
      <c r="A4588" s="227"/>
      <c r="B4588" s="224"/>
      <c r="C4588" s="36" t="s">
        <v>1449</v>
      </c>
      <c r="D4588" s="36" t="s">
        <v>744</v>
      </c>
      <c r="E4588" s="37">
        <f>0.278*2</f>
        <v>0.55600000000000005</v>
      </c>
      <c r="F4588" s="54">
        <v>17.815999999999999</v>
      </c>
      <c r="G4588" s="54">
        <f t="shared" si="79"/>
        <v>9.9056960000000007</v>
      </c>
      <c r="H4588" s="73"/>
      <c r="I4588" s="74"/>
      <c r="J4588" s="155">
        <v>0</v>
      </c>
    </row>
    <row r="4589" spans="1:10" ht="15" hidden="1" thickBot="1" x14ac:dyDescent="0.35">
      <c r="A4589" s="227"/>
      <c r="B4589" s="224"/>
      <c r="C4589" s="36" t="s">
        <v>1057</v>
      </c>
      <c r="D4589" s="36" t="s">
        <v>744</v>
      </c>
      <c r="E4589" s="37">
        <v>1.375</v>
      </c>
      <c r="F4589" s="54">
        <v>20.314999999999998</v>
      </c>
      <c r="G4589" s="54">
        <f t="shared" si="79"/>
        <v>27.933124999999997</v>
      </c>
      <c r="H4589" s="73"/>
      <c r="I4589" s="74"/>
      <c r="J4589" s="155">
        <v>0</v>
      </c>
    </row>
    <row r="4590" spans="1:10" ht="15" hidden="1" thickBot="1" x14ac:dyDescent="0.35">
      <c r="A4590" s="227"/>
      <c r="B4590" s="224"/>
      <c r="C4590" s="36"/>
      <c r="D4590" s="36"/>
      <c r="E4590" s="37"/>
      <c r="F4590" s="54" t="s">
        <v>560</v>
      </c>
      <c r="G4590" s="54" t="str">
        <f t="shared" si="79"/>
        <v/>
      </c>
      <c r="H4590" s="73"/>
      <c r="I4590" s="74"/>
      <c r="J4590" s="155">
        <v>0</v>
      </c>
    </row>
    <row r="4591" spans="1:10" ht="27" hidden="1" thickBot="1" x14ac:dyDescent="0.35">
      <c r="A4591" s="227"/>
      <c r="B4591" s="224"/>
      <c r="C4591" s="48" t="s">
        <v>1469</v>
      </c>
      <c r="D4591" s="36"/>
      <c r="E4591" s="37"/>
      <c r="F4591" s="54" t="s">
        <v>560</v>
      </c>
      <c r="G4591" s="54" t="str">
        <f t="shared" si="79"/>
        <v/>
      </c>
      <c r="H4591" s="73"/>
      <c r="I4591" s="74"/>
      <c r="J4591" s="155">
        <v>0</v>
      </c>
    </row>
    <row r="4592" spans="1:10" ht="24.6" hidden="1" thickBot="1" x14ac:dyDescent="0.35">
      <c r="A4592" s="227"/>
      <c r="B4592" s="224"/>
      <c r="C4592" s="154" t="s">
        <v>1470</v>
      </c>
      <c r="D4592" s="36"/>
      <c r="E4592" s="37"/>
      <c r="F4592" s="54" t="s">
        <v>560</v>
      </c>
      <c r="G4592" s="54" t="str">
        <f t="shared" si="79"/>
        <v/>
      </c>
      <c r="H4592" s="73"/>
      <c r="I4592" s="74"/>
      <c r="J4592" s="155">
        <v>0</v>
      </c>
    </row>
    <row r="4593" spans="1:10" ht="15" hidden="1" thickBot="1" x14ac:dyDescent="0.35">
      <c r="A4593" s="227"/>
      <c r="B4593" s="224"/>
      <c r="C4593" s="36"/>
      <c r="D4593" s="36"/>
      <c r="E4593" s="37"/>
      <c r="F4593" s="54" t="s">
        <v>560</v>
      </c>
      <c r="G4593" s="54" t="str">
        <f t="shared" si="79"/>
        <v/>
      </c>
      <c r="H4593" s="73"/>
      <c r="I4593" s="74"/>
      <c r="J4593" s="155">
        <v>0</v>
      </c>
    </row>
    <row r="4594" spans="1:10" ht="15" hidden="1" thickBot="1" x14ac:dyDescent="0.35">
      <c r="A4594" s="226" t="s">
        <v>1474</v>
      </c>
      <c r="B4594" s="223" t="e">
        <f>INDEX(#REF!,MATCH(Composições!A4594,#REF!,0),2)</f>
        <v>#REF!</v>
      </c>
      <c r="C4594" s="41"/>
      <c r="D4594" s="26" t="e">
        <f>TRIM(INDEX(#REF!,MATCH(Composições!A4594,#REF!,0),1))</f>
        <v>#REF!</v>
      </c>
      <c r="E4594" s="27"/>
      <c r="F4594" s="49" t="s">
        <v>560</v>
      </c>
      <c r="G4594" s="28" t="str">
        <f t="shared" si="79"/>
        <v/>
      </c>
      <c r="H4594" s="29"/>
      <c r="I4594" s="30"/>
      <c r="J4594" s="155">
        <v>0</v>
      </c>
    </row>
    <row r="4595" spans="1:10" ht="15" hidden="1" thickBot="1" x14ac:dyDescent="0.35">
      <c r="A4595" s="227"/>
      <c r="B4595" s="224"/>
      <c r="C4595" s="32"/>
      <c r="D4595" s="32"/>
      <c r="E4595" s="33"/>
      <c r="F4595" s="54" t="s">
        <v>560</v>
      </c>
      <c r="G4595" s="54" t="str">
        <f t="shared" si="79"/>
        <v/>
      </c>
      <c r="H4595" s="73"/>
      <c r="I4595" s="74"/>
      <c r="J4595" s="155">
        <v>0</v>
      </c>
    </row>
    <row r="4596" spans="1:10" ht="27" hidden="1" thickBot="1" x14ac:dyDescent="0.35">
      <c r="A4596" s="227"/>
      <c r="B4596" s="224"/>
      <c r="C4596" s="36" t="s">
        <v>1475</v>
      </c>
      <c r="D4596" s="36" t="s">
        <v>103</v>
      </c>
      <c r="E4596" s="37">
        <v>1.01</v>
      </c>
      <c r="F4596" s="54">
        <v>5.6524999999999999</v>
      </c>
      <c r="G4596" s="54">
        <f t="shared" si="79"/>
        <v>5.7090249999999996</v>
      </c>
      <c r="H4596" s="39">
        <f>SUM(G4596:G4596)</f>
        <v>5.7090249999999996</v>
      </c>
      <c r="I4596" s="40"/>
      <c r="J4596" s="155">
        <v>0</v>
      </c>
    </row>
    <row r="4597" spans="1:10" ht="15" hidden="1" thickBot="1" x14ac:dyDescent="0.35">
      <c r="A4597" s="227"/>
      <c r="B4597" s="224"/>
      <c r="C4597" s="36"/>
      <c r="D4597" s="36"/>
      <c r="E4597" s="37"/>
      <c r="F4597" s="54" t="s">
        <v>560</v>
      </c>
      <c r="G4597" s="54" t="str">
        <f t="shared" si="79"/>
        <v/>
      </c>
      <c r="H4597" s="73"/>
      <c r="I4597" s="74"/>
      <c r="J4597" s="155">
        <v>0</v>
      </c>
    </row>
    <row r="4598" spans="1:10" ht="27" hidden="1" thickBot="1" x14ac:dyDescent="0.35">
      <c r="A4598" s="227"/>
      <c r="B4598" s="224"/>
      <c r="C4598" s="48" t="s">
        <v>1476</v>
      </c>
      <c r="D4598" s="36"/>
      <c r="E4598" s="37"/>
      <c r="F4598" s="54" t="s">
        <v>560</v>
      </c>
      <c r="G4598" s="54" t="str">
        <f t="shared" si="79"/>
        <v/>
      </c>
      <c r="H4598" s="73"/>
      <c r="I4598" s="74"/>
      <c r="J4598" s="155">
        <v>0</v>
      </c>
    </row>
    <row r="4599" spans="1:10" ht="15" hidden="1" thickBot="1" x14ac:dyDescent="0.35">
      <c r="A4599" s="227"/>
      <c r="B4599" s="224"/>
      <c r="C4599" s="55"/>
      <c r="D4599" s="55"/>
      <c r="E4599" s="66"/>
      <c r="F4599" s="76" t="s">
        <v>560</v>
      </c>
      <c r="G4599" s="76" t="str">
        <f t="shared" si="79"/>
        <v/>
      </c>
      <c r="H4599" s="77"/>
      <c r="I4599" s="74"/>
      <c r="J4599" s="155">
        <v>0</v>
      </c>
    </row>
    <row r="4600" spans="1:10" ht="15" hidden="1" thickBot="1" x14ac:dyDescent="0.35">
      <c r="A4600" s="226" t="s">
        <v>1477</v>
      </c>
      <c r="B4600" s="223" t="e">
        <f>INDEX(#REF!,MATCH(Composições!A4600,#REF!,0),2)</f>
        <v>#REF!</v>
      </c>
      <c r="C4600" s="41"/>
      <c r="D4600" s="26" t="e">
        <f>TRIM(INDEX(#REF!,MATCH(Composições!A4600,#REF!,0),1))</f>
        <v>#REF!</v>
      </c>
      <c r="E4600" s="27"/>
      <c r="F4600" s="49" t="s">
        <v>560</v>
      </c>
      <c r="G4600" s="28" t="str">
        <f t="shared" si="79"/>
        <v/>
      </c>
      <c r="H4600" s="29"/>
      <c r="I4600" s="30"/>
      <c r="J4600" s="155">
        <v>0</v>
      </c>
    </row>
    <row r="4601" spans="1:10" ht="15" hidden="1" thickBot="1" x14ac:dyDescent="0.35">
      <c r="A4601" s="227"/>
      <c r="B4601" s="224"/>
      <c r="C4601" s="32"/>
      <c r="D4601" s="32"/>
      <c r="E4601" s="33"/>
      <c r="F4601" s="54" t="s">
        <v>560</v>
      </c>
      <c r="G4601" s="54" t="str">
        <f t="shared" si="79"/>
        <v/>
      </c>
      <c r="H4601" s="73"/>
      <c r="I4601" s="74"/>
      <c r="J4601" s="155">
        <v>0</v>
      </c>
    </row>
    <row r="4602" spans="1:10" ht="27" hidden="1" thickBot="1" x14ac:dyDescent="0.35">
      <c r="A4602" s="227"/>
      <c r="B4602" s="224"/>
      <c r="C4602" s="36" t="s">
        <v>1143</v>
      </c>
      <c r="D4602" s="36" t="s">
        <v>110</v>
      </c>
      <c r="E4602" s="37">
        <v>1</v>
      </c>
      <c r="F4602" s="54">
        <v>112.42099999999999</v>
      </c>
      <c r="G4602" s="54">
        <f t="shared" si="79"/>
        <v>112.42099999999999</v>
      </c>
      <c r="H4602" s="39">
        <f>SUM(G4602:G4604)</f>
        <v>153.6142049</v>
      </c>
      <c r="I4602" s="40"/>
      <c r="J4602" s="155">
        <v>0</v>
      </c>
    </row>
    <row r="4603" spans="1:10" ht="53.4" hidden="1" thickBot="1" x14ac:dyDescent="0.35">
      <c r="A4603" s="227"/>
      <c r="B4603" s="224"/>
      <c r="C4603" s="36" t="s">
        <v>1931</v>
      </c>
      <c r="D4603" s="36" t="s">
        <v>110</v>
      </c>
      <c r="E4603" s="37">
        <f>1*E4602</f>
        <v>1</v>
      </c>
      <c r="F4603" s="34">
        <v>5.4059098999999993</v>
      </c>
      <c r="G4603" s="34">
        <f t="shared" si="79"/>
        <v>5.4059098999999993</v>
      </c>
      <c r="H4603" s="35"/>
      <c r="I4603" s="31"/>
      <c r="J4603" s="155">
        <v>0</v>
      </c>
    </row>
    <row r="4604" spans="1:10" ht="27" hidden="1" thickBot="1" x14ac:dyDescent="0.35">
      <c r="A4604" s="227"/>
      <c r="B4604" s="224"/>
      <c r="C4604" s="36" t="s">
        <v>123</v>
      </c>
      <c r="D4604" s="36" t="s">
        <v>124</v>
      </c>
      <c r="E4604" s="37">
        <f>E4602*20</f>
        <v>20</v>
      </c>
      <c r="F4604" s="54">
        <v>1.7893647499999998</v>
      </c>
      <c r="G4604" s="54">
        <f t="shared" si="79"/>
        <v>35.787295</v>
      </c>
      <c r="H4604" s="73"/>
      <c r="I4604" s="74"/>
      <c r="J4604" s="155">
        <v>0</v>
      </c>
    </row>
    <row r="4605" spans="1:10" ht="15" hidden="1" thickBot="1" x14ac:dyDescent="0.35">
      <c r="A4605" s="227"/>
      <c r="B4605" s="224"/>
      <c r="C4605" s="36"/>
      <c r="D4605" s="36"/>
      <c r="E4605" s="37"/>
      <c r="F4605" s="54" t="s">
        <v>560</v>
      </c>
      <c r="G4605" s="54" t="str">
        <f t="shared" si="79"/>
        <v/>
      </c>
      <c r="H4605" s="73"/>
      <c r="I4605" s="74"/>
      <c r="J4605" s="155">
        <v>0</v>
      </c>
    </row>
    <row r="4606" spans="1:10" ht="15" hidden="1" thickBot="1" x14ac:dyDescent="0.35">
      <c r="A4606" s="227"/>
      <c r="B4606" s="224"/>
      <c r="C4606" s="48" t="s">
        <v>1478</v>
      </c>
      <c r="D4606" s="36"/>
      <c r="E4606" s="37"/>
      <c r="F4606" s="54" t="s">
        <v>560</v>
      </c>
      <c r="G4606" s="54" t="str">
        <f t="shared" si="79"/>
        <v/>
      </c>
      <c r="H4606" s="73"/>
      <c r="I4606" s="74"/>
      <c r="J4606" s="155">
        <v>0</v>
      </c>
    </row>
    <row r="4607" spans="1:10" ht="15" hidden="1" thickBot="1" x14ac:dyDescent="0.35">
      <c r="A4607" s="228"/>
      <c r="B4607" s="225"/>
      <c r="C4607" s="55"/>
      <c r="D4607" s="55"/>
      <c r="E4607" s="66"/>
      <c r="F4607" s="76" t="s">
        <v>560</v>
      </c>
      <c r="G4607" s="76" t="str">
        <f t="shared" si="79"/>
        <v/>
      </c>
      <c r="H4607" s="77"/>
      <c r="I4607" s="74"/>
      <c r="J4607" s="155">
        <v>0</v>
      </c>
    </row>
    <row r="4608" spans="1:10" ht="15" hidden="1" thickBot="1" x14ac:dyDescent="0.35">
      <c r="A4608" s="226" t="s">
        <v>1479</v>
      </c>
      <c r="B4608" s="223" t="e">
        <f>INDEX(#REF!,MATCH(Composições!A4608,#REF!,0),2)</f>
        <v>#REF!</v>
      </c>
      <c r="C4608" s="41"/>
      <c r="D4608" s="26" t="e">
        <f>TRIM(INDEX(#REF!,MATCH(Composições!A4608,#REF!,0),1))</f>
        <v>#REF!</v>
      </c>
      <c r="E4608" s="27"/>
      <c r="F4608" s="49" t="s">
        <v>560</v>
      </c>
      <c r="G4608" s="28" t="str">
        <f t="shared" si="79"/>
        <v/>
      </c>
      <c r="H4608" s="29"/>
      <c r="I4608" s="30"/>
      <c r="J4608" s="155">
        <v>0</v>
      </c>
    </row>
    <row r="4609" spans="1:10" ht="15" hidden="1" thickBot="1" x14ac:dyDescent="0.35">
      <c r="A4609" s="227"/>
      <c r="B4609" s="224"/>
      <c r="C4609" s="32"/>
      <c r="D4609" s="32"/>
      <c r="E4609" s="33"/>
      <c r="F4609" s="54" t="s">
        <v>560</v>
      </c>
      <c r="G4609" s="54" t="str">
        <f t="shared" si="79"/>
        <v/>
      </c>
      <c r="H4609" s="73"/>
      <c r="I4609" s="74"/>
      <c r="J4609" s="155">
        <v>0</v>
      </c>
    </row>
    <row r="4610" spans="1:10" ht="15" hidden="1" thickBot="1" x14ac:dyDescent="0.35">
      <c r="A4610" s="227"/>
      <c r="B4610" s="224"/>
      <c r="C4610" s="36" t="s">
        <v>752</v>
      </c>
      <c r="D4610" s="36" t="s">
        <v>744</v>
      </c>
      <c r="E4610" s="37">
        <v>0.1</v>
      </c>
      <c r="F4610" s="54">
        <v>20.314999999999998</v>
      </c>
      <c r="G4610" s="54">
        <f t="shared" si="79"/>
        <v>2.0314999999999999</v>
      </c>
      <c r="H4610" s="39">
        <f>SUM(G4610:G4617)</f>
        <v>11.286299999999999</v>
      </c>
      <c r="I4610" s="40"/>
      <c r="J4610" s="155">
        <v>0</v>
      </c>
    </row>
    <row r="4611" spans="1:10" ht="15" hidden="1" thickBot="1" x14ac:dyDescent="0.35">
      <c r="A4611" s="227"/>
      <c r="B4611" s="224"/>
      <c r="C4611" s="36" t="s">
        <v>745</v>
      </c>
      <c r="D4611" s="36" t="s">
        <v>744</v>
      </c>
      <c r="E4611" s="37">
        <v>0.1</v>
      </c>
      <c r="F4611" s="54">
        <v>14.968499999999999</v>
      </c>
      <c r="G4611" s="54">
        <f t="shared" si="79"/>
        <v>1.49685</v>
      </c>
      <c r="H4611" s="73"/>
      <c r="I4611" s="74"/>
      <c r="J4611" s="155">
        <v>0</v>
      </c>
    </row>
    <row r="4612" spans="1:10" ht="15" hidden="1" thickBot="1" x14ac:dyDescent="0.35">
      <c r="A4612" s="227"/>
      <c r="B4612" s="224"/>
      <c r="C4612" s="36" t="s">
        <v>1480</v>
      </c>
      <c r="D4612" s="36" t="s">
        <v>939</v>
      </c>
      <c r="E4612" s="37">
        <v>0.1</v>
      </c>
      <c r="F4612" s="54" t="s">
        <v>560</v>
      </c>
      <c r="G4612" s="54" t="str">
        <f t="shared" si="79"/>
        <v/>
      </c>
      <c r="H4612" s="73"/>
      <c r="I4612" s="74"/>
      <c r="J4612" s="155">
        <v>0</v>
      </c>
    </row>
    <row r="4613" spans="1:10" ht="27" hidden="1" thickBot="1" x14ac:dyDescent="0.35">
      <c r="A4613" s="227"/>
      <c r="B4613" s="224"/>
      <c r="C4613" s="36" t="s">
        <v>1482</v>
      </c>
      <c r="D4613" s="36" t="s">
        <v>95</v>
      </c>
      <c r="E4613" s="37">
        <v>1.1000000000000001</v>
      </c>
      <c r="F4613" s="54" t="s">
        <v>560</v>
      </c>
      <c r="G4613" s="54" t="str">
        <f t="shared" si="79"/>
        <v/>
      </c>
      <c r="H4613" s="73"/>
      <c r="I4613" s="74"/>
      <c r="J4613" s="155">
        <v>0</v>
      </c>
    </row>
    <row r="4614" spans="1:10" ht="15" hidden="1" thickBot="1" x14ac:dyDescent="0.35">
      <c r="A4614" s="227"/>
      <c r="B4614" s="224"/>
      <c r="C4614" s="36" t="s">
        <v>752</v>
      </c>
      <c r="D4614" s="36" t="s">
        <v>744</v>
      </c>
      <c r="E4614" s="37">
        <v>0.2</v>
      </c>
      <c r="F4614" s="54">
        <v>20.314999999999998</v>
      </c>
      <c r="G4614" s="54">
        <f t="shared" si="79"/>
        <v>4.0629999999999997</v>
      </c>
      <c r="H4614" s="73"/>
      <c r="I4614" s="40"/>
      <c r="J4614" s="155">
        <v>0</v>
      </c>
    </row>
    <row r="4615" spans="1:10" ht="15" hidden="1" thickBot="1" x14ac:dyDescent="0.35">
      <c r="A4615" s="227"/>
      <c r="B4615" s="224"/>
      <c r="C4615" s="36" t="s">
        <v>745</v>
      </c>
      <c r="D4615" s="36" t="s">
        <v>744</v>
      </c>
      <c r="E4615" s="37">
        <v>0.2</v>
      </c>
      <c r="F4615" s="54">
        <v>14.968499999999999</v>
      </c>
      <c r="G4615" s="54">
        <f t="shared" si="79"/>
        <v>2.9937</v>
      </c>
      <c r="H4615" s="73"/>
      <c r="I4615" s="74"/>
      <c r="J4615" s="155">
        <v>0</v>
      </c>
    </row>
    <row r="4616" spans="1:10" ht="15" hidden="1" thickBot="1" x14ac:dyDescent="0.35">
      <c r="A4616" s="227"/>
      <c r="B4616" s="224"/>
      <c r="C4616" s="36" t="s">
        <v>789</v>
      </c>
      <c r="D4616" s="36" t="s">
        <v>939</v>
      </c>
      <c r="E4616" s="37">
        <v>1.5</v>
      </c>
      <c r="F4616" s="54">
        <v>0.46750000000000003</v>
      </c>
      <c r="G4616" s="54">
        <f t="shared" si="79"/>
        <v>0.70125000000000004</v>
      </c>
      <c r="H4616" s="73"/>
      <c r="I4616" s="74"/>
      <c r="J4616" s="155">
        <v>0</v>
      </c>
    </row>
    <row r="4617" spans="1:10" ht="15" hidden="1" thickBot="1" x14ac:dyDescent="0.35">
      <c r="A4617" s="227"/>
      <c r="B4617" s="224"/>
      <c r="C4617" s="36" t="s">
        <v>1481</v>
      </c>
      <c r="D4617" s="36" t="s">
        <v>939</v>
      </c>
      <c r="E4617" s="37">
        <f>ROUND(E4616*0.1,2)</f>
        <v>0.15</v>
      </c>
      <c r="F4617" s="54" t="s">
        <v>560</v>
      </c>
      <c r="G4617" s="54" t="str">
        <f t="shared" si="79"/>
        <v/>
      </c>
      <c r="H4617" s="73"/>
      <c r="I4617" s="74"/>
      <c r="J4617" s="155">
        <v>0</v>
      </c>
    </row>
    <row r="4618" spans="1:10" ht="15" hidden="1" thickBot="1" x14ac:dyDescent="0.35">
      <c r="A4618" s="227"/>
      <c r="B4618" s="224"/>
      <c r="C4618" s="36"/>
      <c r="D4618" s="36"/>
      <c r="E4618" s="37"/>
      <c r="F4618" s="54" t="s">
        <v>560</v>
      </c>
      <c r="G4618" s="54" t="str">
        <f t="shared" si="79"/>
        <v/>
      </c>
      <c r="H4618" s="73"/>
      <c r="I4618" s="74"/>
      <c r="J4618" s="155">
        <v>0</v>
      </c>
    </row>
    <row r="4619" spans="1:10" ht="15" hidden="1" thickBot="1" x14ac:dyDescent="0.35">
      <c r="A4619" s="226" t="s">
        <v>1483</v>
      </c>
      <c r="B4619" s="223" t="e">
        <f>INDEX(#REF!,MATCH(Composições!A4619,#REF!,0),2)</f>
        <v>#REF!</v>
      </c>
      <c r="C4619" s="41"/>
      <c r="D4619" s="26" t="e">
        <f>TRIM(INDEX(#REF!,MATCH(Composições!A4619,#REF!,0),1))</f>
        <v>#REF!</v>
      </c>
      <c r="E4619" s="27"/>
      <c r="F4619" s="49" t="s">
        <v>560</v>
      </c>
      <c r="G4619" s="28" t="str">
        <f t="shared" si="79"/>
        <v/>
      </c>
      <c r="H4619" s="29"/>
      <c r="I4619" s="30"/>
      <c r="J4619" s="155">
        <v>0</v>
      </c>
    </row>
    <row r="4620" spans="1:10" ht="15" hidden="1" thickBot="1" x14ac:dyDescent="0.35">
      <c r="A4620" s="227"/>
      <c r="B4620" s="224"/>
      <c r="C4620" s="32"/>
      <c r="D4620" s="32"/>
      <c r="E4620" s="33"/>
      <c r="F4620" s="54" t="s">
        <v>560</v>
      </c>
      <c r="G4620" s="54" t="str">
        <f t="shared" si="79"/>
        <v/>
      </c>
      <c r="H4620" s="73"/>
      <c r="I4620" s="74"/>
      <c r="J4620" s="155">
        <v>0</v>
      </c>
    </row>
    <row r="4621" spans="1:10" ht="15" hidden="1" thickBot="1" x14ac:dyDescent="0.35">
      <c r="A4621" s="227"/>
      <c r="B4621" s="224"/>
      <c r="C4621" s="36" t="s">
        <v>752</v>
      </c>
      <c r="D4621" s="36" t="s">
        <v>744</v>
      </c>
      <c r="E4621" s="37">
        <v>0.01</v>
      </c>
      <c r="F4621" s="54">
        <v>20.314999999999998</v>
      </c>
      <c r="G4621" s="54">
        <f t="shared" si="79"/>
        <v>0.20314999999999997</v>
      </c>
      <c r="H4621" s="39">
        <f>SUM(G4621:G4622)</f>
        <v>1.7</v>
      </c>
      <c r="I4621" s="40"/>
      <c r="J4621" s="155">
        <v>0</v>
      </c>
    </row>
    <row r="4622" spans="1:10" ht="15" hidden="1" thickBot="1" x14ac:dyDescent="0.35">
      <c r="A4622" s="227"/>
      <c r="B4622" s="224"/>
      <c r="C4622" s="36" t="s">
        <v>745</v>
      </c>
      <c r="D4622" s="36" t="s">
        <v>744</v>
      </c>
      <c r="E4622" s="37">
        <v>0.1</v>
      </c>
      <c r="F4622" s="54">
        <v>14.968499999999999</v>
      </c>
      <c r="G4622" s="54">
        <f t="shared" si="79"/>
        <v>1.49685</v>
      </c>
      <c r="H4622" s="73"/>
      <c r="I4622" s="74"/>
      <c r="J4622" s="155">
        <v>0</v>
      </c>
    </row>
    <row r="4623" spans="1:10" ht="15" hidden="1" thickBot="1" x14ac:dyDescent="0.35">
      <c r="A4623" s="228"/>
      <c r="B4623" s="225"/>
      <c r="C4623" s="55"/>
      <c r="D4623" s="55"/>
      <c r="E4623" s="66"/>
      <c r="F4623" s="76" t="s">
        <v>560</v>
      </c>
      <c r="G4623" s="76" t="str">
        <f t="shared" si="79"/>
        <v/>
      </c>
      <c r="H4623" s="77"/>
      <c r="I4623" s="74"/>
      <c r="J4623" s="155">
        <v>0</v>
      </c>
    </row>
    <row r="4624" spans="1:10" ht="15" hidden="1" thickBot="1" x14ac:dyDescent="0.35">
      <c r="A4624" s="226" t="s">
        <v>1866</v>
      </c>
      <c r="B4624" s="223" t="e">
        <f>INDEX(#REF!,MATCH(Composições!A4624,#REF!,0),2)</f>
        <v>#REF!</v>
      </c>
      <c r="C4624" s="41"/>
      <c r="D4624" s="26" t="e">
        <f>TRIM(INDEX(#REF!,MATCH(Composições!A4624,#REF!,0),1))</f>
        <v>#REF!</v>
      </c>
      <c r="E4624" s="27"/>
      <c r="F4624" s="49" t="s">
        <v>560</v>
      </c>
      <c r="G4624" s="28" t="str">
        <f t="shared" si="79"/>
        <v/>
      </c>
      <c r="H4624" s="29"/>
      <c r="I4624" s="30"/>
      <c r="J4624" s="155">
        <v>0</v>
      </c>
    </row>
    <row r="4625" spans="1:10" ht="15" hidden="1" thickBot="1" x14ac:dyDescent="0.35">
      <c r="A4625" s="227"/>
      <c r="B4625" s="224"/>
      <c r="C4625" s="32"/>
      <c r="D4625" s="32"/>
      <c r="E4625" s="33"/>
      <c r="F4625" s="54" t="s">
        <v>560</v>
      </c>
      <c r="G4625" s="54" t="str">
        <f t="shared" si="79"/>
        <v/>
      </c>
      <c r="H4625" s="73"/>
      <c r="I4625" s="74"/>
      <c r="J4625" s="155">
        <v>0</v>
      </c>
    </row>
    <row r="4626" spans="1:10" ht="15" hidden="1" thickBot="1" x14ac:dyDescent="0.35">
      <c r="A4626" s="227"/>
      <c r="B4626" s="224"/>
      <c r="C4626" s="36" t="s">
        <v>1812</v>
      </c>
      <c r="D4626" s="36" t="s">
        <v>939</v>
      </c>
      <c r="E4626" s="37">
        <f>0.5228*2.4/1.5</f>
        <v>0.83648</v>
      </c>
      <c r="F4626" s="54">
        <v>22.074499999999997</v>
      </c>
      <c r="G4626" s="54">
        <f t="shared" si="79"/>
        <v>18.464877759999997</v>
      </c>
      <c r="H4626" s="39">
        <f>SUM(G4626:G4632)</f>
        <v>913.45245545999978</v>
      </c>
      <c r="I4626" s="40"/>
      <c r="J4626" s="155">
        <v>0</v>
      </c>
    </row>
    <row r="4627" spans="1:10" ht="40.200000000000003" hidden="1" thickBot="1" x14ac:dyDescent="0.35">
      <c r="A4627" s="227"/>
      <c r="B4627" s="224"/>
      <c r="C4627" s="36" t="s">
        <v>1181</v>
      </c>
      <c r="D4627" s="36" t="s">
        <v>292</v>
      </c>
      <c r="E4627" s="37">
        <v>9</v>
      </c>
      <c r="F4627" s="54">
        <v>0.83299999999999996</v>
      </c>
      <c r="G4627" s="54">
        <f t="shared" si="79"/>
        <v>7.4969999999999999</v>
      </c>
      <c r="H4627" s="73"/>
      <c r="I4627" s="74"/>
      <c r="J4627" s="155">
        <v>0</v>
      </c>
    </row>
    <row r="4628" spans="1:10" ht="40.200000000000003" hidden="1" thickBot="1" x14ac:dyDescent="0.35">
      <c r="A4628" s="227"/>
      <c r="B4628" s="224"/>
      <c r="C4628" s="36" t="s">
        <v>1791</v>
      </c>
      <c r="D4628" s="36" t="s">
        <v>1035</v>
      </c>
      <c r="E4628" s="37">
        <f>1.005*2.4/1.5</f>
        <v>1.6079999999999997</v>
      </c>
      <c r="F4628" s="54">
        <v>487.54300000000001</v>
      </c>
      <c r="G4628" s="54">
        <f t="shared" si="79"/>
        <v>783.9691439999998</v>
      </c>
      <c r="H4628" s="73"/>
      <c r="I4628" s="74"/>
      <c r="J4628" s="155">
        <v>0</v>
      </c>
    </row>
    <row r="4629" spans="1:10" ht="15" hidden="1" thickBot="1" x14ac:dyDescent="0.35">
      <c r="A4629" s="227"/>
      <c r="B4629" s="224"/>
      <c r="C4629" s="36" t="s">
        <v>1923</v>
      </c>
      <c r="D4629" s="36" t="s">
        <v>939</v>
      </c>
      <c r="E4629" s="37">
        <f>0.0211*2.4/1.5</f>
        <v>3.3759999999999998E-2</v>
      </c>
      <c r="F4629" s="54">
        <v>47.302499999999995</v>
      </c>
      <c r="G4629" s="54">
        <f t="shared" si="79"/>
        <v>1.5969323999999998</v>
      </c>
      <c r="H4629" s="73"/>
      <c r="I4629" s="74"/>
      <c r="J4629" s="155">
        <v>0</v>
      </c>
    </row>
    <row r="4630" spans="1:10" ht="27" hidden="1" thickBot="1" x14ac:dyDescent="0.35">
      <c r="A4630" s="227"/>
      <c r="B4630" s="224"/>
      <c r="C4630" s="36" t="s">
        <v>1832</v>
      </c>
      <c r="D4630" s="36" t="s">
        <v>292</v>
      </c>
      <c r="E4630" s="37">
        <v>3</v>
      </c>
      <c r="F4630" s="54">
        <v>20.638000000000002</v>
      </c>
      <c r="G4630" s="54">
        <f t="shared" si="79"/>
        <v>61.914000000000001</v>
      </c>
      <c r="H4630" s="73"/>
      <c r="I4630" s="40"/>
      <c r="J4630" s="155">
        <v>0</v>
      </c>
    </row>
    <row r="4631" spans="1:10" ht="15" hidden="1" thickBot="1" x14ac:dyDescent="0.35">
      <c r="A4631" s="227"/>
      <c r="B4631" s="224"/>
      <c r="C4631" s="36" t="s">
        <v>1696</v>
      </c>
      <c r="D4631" s="36" t="s">
        <v>744</v>
      </c>
      <c r="E4631" s="37">
        <v>1.4944</v>
      </c>
      <c r="F4631" s="54">
        <v>16.923500000000001</v>
      </c>
      <c r="G4631" s="54">
        <f t="shared" si="79"/>
        <v>25.290478400000001</v>
      </c>
      <c r="H4631" s="73"/>
      <c r="I4631" s="74"/>
      <c r="J4631" s="155">
        <v>0</v>
      </c>
    </row>
    <row r="4632" spans="1:10" ht="15" hidden="1" thickBot="1" x14ac:dyDescent="0.35">
      <c r="A4632" s="227"/>
      <c r="B4632" s="224"/>
      <c r="C4632" s="36" t="s">
        <v>745</v>
      </c>
      <c r="D4632" s="36" t="s">
        <v>744</v>
      </c>
      <c r="E4632" s="37">
        <v>0.98340000000000005</v>
      </c>
      <c r="F4632" s="54">
        <v>14.968499999999999</v>
      </c>
      <c r="G4632" s="54">
        <f t="shared" si="79"/>
        <v>14.7200229</v>
      </c>
      <c r="H4632" s="73"/>
      <c r="I4632" s="74"/>
      <c r="J4632" s="155">
        <v>0</v>
      </c>
    </row>
    <row r="4633" spans="1:10" ht="15" hidden="1" thickBot="1" x14ac:dyDescent="0.35">
      <c r="A4633" s="227"/>
      <c r="B4633" s="224"/>
      <c r="C4633" s="36"/>
      <c r="D4633" s="36"/>
      <c r="E4633" s="37"/>
      <c r="F4633" s="54" t="s">
        <v>560</v>
      </c>
      <c r="G4633" s="54" t="str">
        <f t="shared" si="79"/>
        <v/>
      </c>
      <c r="H4633" s="73"/>
      <c r="I4633" s="74"/>
      <c r="J4633" s="155">
        <v>0</v>
      </c>
    </row>
    <row r="4634" spans="1:10" ht="15" hidden="1" thickBot="1" x14ac:dyDescent="0.35">
      <c r="A4634" s="226" t="s">
        <v>1867</v>
      </c>
      <c r="B4634" s="223" t="e">
        <f>INDEX(#REF!,MATCH(Composições!A4634,#REF!,0),2)</f>
        <v>#REF!</v>
      </c>
      <c r="C4634" s="41"/>
      <c r="D4634" s="26" t="e">
        <f>TRIM(INDEX(#REF!,MATCH(Composições!A4634,#REF!,0),1))</f>
        <v>#REF!</v>
      </c>
      <c r="E4634" s="27"/>
      <c r="F4634" s="49" t="s">
        <v>560</v>
      </c>
      <c r="G4634" s="28" t="str">
        <f t="shared" si="79"/>
        <v/>
      </c>
      <c r="H4634" s="29"/>
      <c r="I4634" s="30"/>
      <c r="J4634" s="155">
        <v>0</v>
      </c>
    </row>
    <row r="4635" spans="1:10" ht="15" hidden="1" thickBot="1" x14ac:dyDescent="0.35">
      <c r="A4635" s="227"/>
      <c r="B4635" s="224"/>
      <c r="C4635" s="32"/>
      <c r="D4635" s="32"/>
      <c r="E4635" s="33"/>
      <c r="F4635" s="54" t="s">
        <v>560</v>
      </c>
      <c r="G4635" s="54" t="str">
        <f t="shared" si="79"/>
        <v/>
      </c>
      <c r="H4635" s="73"/>
      <c r="I4635" s="74"/>
      <c r="J4635" s="155">
        <v>0</v>
      </c>
    </row>
    <row r="4636" spans="1:10" ht="15" hidden="1" thickBot="1" x14ac:dyDescent="0.35">
      <c r="A4636" s="227"/>
      <c r="B4636" s="224"/>
      <c r="C4636" s="36" t="s">
        <v>1812</v>
      </c>
      <c r="D4636" s="36" t="s">
        <v>939</v>
      </c>
      <c r="E4636" s="37">
        <f>0.5228*2.5/1.5</f>
        <v>0.8713333333333334</v>
      </c>
      <c r="F4636" s="54">
        <v>22.074499999999997</v>
      </c>
      <c r="G4636" s="54">
        <f t="shared" si="79"/>
        <v>19.234247666666665</v>
      </c>
      <c r="H4636" s="39">
        <f>SUM(G4636:G4642)</f>
        <v>946.95374521666668</v>
      </c>
      <c r="I4636" s="40"/>
      <c r="J4636" s="155">
        <v>0</v>
      </c>
    </row>
    <row r="4637" spans="1:10" ht="40.200000000000003" hidden="1" thickBot="1" x14ac:dyDescent="0.35">
      <c r="A4637" s="227"/>
      <c r="B4637" s="224"/>
      <c r="C4637" s="36" t="s">
        <v>1181</v>
      </c>
      <c r="D4637" s="36" t="s">
        <v>292</v>
      </c>
      <c r="E4637" s="37">
        <v>9</v>
      </c>
      <c r="F4637" s="54">
        <v>0.83299999999999996</v>
      </c>
      <c r="G4637" s="54">
        <f t="shared" si="79"/>
        <v>7.4969999999999999</v>
      </c>
      <c r="H4637" s="73"/>
      <c r="I4637" s="74"/>
      <c r="J4637" s="155">
        <v>0</v>
      </c>
    </row>
    <row r="4638" spans="1:10" ht="40.200000000000003" hidden="1" thickBot="1" x14ac:dyDescent="0.35">
      <c r="A4638" s="227"/>
      <c r="B4638" s="224"/>
      <c r="C4638" s="36" t="s">
        <v>1791</v>
      </c>
      <c r="D4638" s="36" t="s">
        <v>1035</v>
      </c>
      <c r="E4638" s="37">
        <f>1.005*2.5/1.5</f>
        <v>1.6749999999999998</v>
      </c>
      <c r="F4638" s="54">
        <v>487.54300000000001</v>
      </c>
      <c r="G4638" s="54">
        <f t="shared" si="79"/>
        <v>816.63452499999994</v>
      </c>
      <c r="H4638" s="73"/>
      <c r="I4638" s="74"/>
      <c r="J4638" s="155">
        <v>0</v>
      </c>
    </row>
    <row r="4639" spans="1:10" ht="15" hidden="1" thickBot="1" x14ac:dyDescent="0.35">
      <c r="A4639" s="227"/>
      <c r="B4639" s="224"/>
      <c r="C4639" s="36" t="s">
        <v>1923</v>
      </c>
      <c r="D4639" s="36" t="s">
        <v>939</v>
      </c>
      <c r="E4639" s="37">
        <f>0.0211*2.5/1.5</f>
        <v>3.5166666666666672E-2</v>
      </c>
      <c r="F4639" s="54">
        <v>47.302499999999995</v>
      </c>
      <c r="G4639" s="54">
        <f t="shared" ref="G4639:G4702" si="80">IF(ISNUMBER(F4639),E4639*F4639,"")</f>
        <v>1.6634712500000002</v>
      </c>
      <c r="H4639" s="73"/>
      <c r="I4639" s="74"/>
      <c r="J4639" s="155">
        <v>0</v>
      </c>
    </row>
    <row r="4640" spans="1:10" ht="27" hidden="1" thickBot="1" x14ac:dyDescent="0.35">
      <c r="A4640" s="227"/>
      <c r="B4640" s="224"/>
      <c r="C4640" s="36" t="s">
        <v>1832</v>
      </c>
      <c r="D4640" s="36" t="s">
        <v>292</v>
      </c>
      <c r="E4640" s="37">
        <v>3</v>
      </c>
      <c r="F4640" s="54">
        <v>20.638000000000002</v>
      </c>
      <c r="G4640" s="54">
        <f t="shared" si="80"/>
        <v>61.914000000000001</v>
      </c>
      <c r="H4640" s="73"/>
      <c r="I4640" s="40"/>
      <c r="J4640" s="155">
        <v>0</v>
      </c>
    </row>
    <row r="4641" spans="1:10" ht="15" hidden="1" thickBot="1" x14ac:dyDescent="0.35">
      <c r="A4641" s="227"/>
      <c r="B4641" s="224"/>
      <c r="C4641" s="36" t="s">
        <v>1696</v>
      </c>
      <c r="D4641" s="36" t="s">
        <v>744</v>
      </c>
      <c r="E4641" s="37">
        <v>1.4944</v>
      </c>
      <c r="F4641" s="54">
        <v>16.923500000000001</v>
      </c>
      <c r="G4641" s="54">
        <f t="shared" si="80"/>
        <v>25.290478400000001</v>
      </c>
      <c r="H4641" s="73"/>
      <c r="I4641" s="74"/>
      <c r="J4641" s="155">
        <v>0</v>
      </c>
    </row>
    <row r="4642" spans="1:10" ht="15" hidden="1" thickBot="1" x14ac:dyDescent="0.35">
      <c r="A4642" s="227"/>
      <c r="B4642" s="224"/>
      <c r="C4642" s="36" t="s">
        <v>745</v>
      </c>
      <c r="D4642" s="36" t="s">
        <v>744</v>
      </c>
      <c r="E4642" s="37">
        <v>0.98340000000000005</v>
      </c>
      <c r="F4642" s="54">
        <v>14.968499999999999</v>
      </c>
      <c r="G4642" s="54">
        <f t="shared" si="80"/>
        <v>14.7200229</v>
      </c>
      <c r="H4642" s="73"/>
      <c r="I4642" s="74"/>
      <c r="J4642" s="155">
        <v>0</v>
      </c>
    </row>
    <row r="4643" spans="1:10" ht="15" hidden="1" thickBot="1" x14ac:dyDescent="0.35">
      <c r="A4643" s="227"/>
      <c r="B4643" s="224"/>
      <c r="C4643" s="36"/>
      <c r="D4643" s="36"/>
      <c r="E4643" s="37"/>
      <c r="F4643" s="54" t="s">
        <v>560</v>
      </c>
      <c r="G4643" s="54" t="str">
        <f t="shared" si="80"/>
        <v/>
      </c>
      <c r="H4643" s="73"/>
      <c r="I4643" s="74"/>
      <c r="J4643" s="155">
        <v>0</v>
      </c>
    </row>
    <row r="4644" spans="1:10" ht="15" hidden="1" thickBot="1" x14ac:dyDescent="0.35">
      <c r="A4644" s="226" t="s">
        <v>1868</v>
      </c>
      <c r="B4644" s="223" t="e">
        <f>INDEX(#REF!,MATCH(Composições!A4644,#REF!,0),2)</f>
        <v>#REF!</v>
      </c>
      <c r="C4644" s="41"/>
      <c r="D4644" s="26" t="e">
        <f>TRIM(INDEX(#REF!,MATCH(Composições!A4644,#REF!,0),1))</f>
        <v>#REF!</v>
      </c>
      <c r="E4644" s="27"/>
      <c r="F4644" s="42" t="s">
        <v>560</v>
      </c>
      <c r="G4644" s="28" t="str">
        <f t="shared" si="80"/>
        <v/>
      </c>
      <c r="H4644" s="29"/>
      <c r="I4644" s="30"/>
      <c r="J4644" s="155">
        <v>0</v>
      </c>
    </row>
    <row r="4645" spans="1:10" ht="15" hidden="1" thickBot="1" x14ac:dyDescent="0.35">
      <c r="A4645" s="229"/>
      <c r="B4645" s="224"/>
      <c r="C4645" s="32"/>
      <c r="D4645" s="32"/>
      <c r="E4645" s="33"/>
      <c r="F4645" s="43" t="s">
        <v>560</v>
      </c>
      <c r="G4645" s="34" t="str">
        <f t="shared" si="80"/>
        <v/>
      </c>
      <c r="H4645" s="35"/>
      <c r="I4645" s="31"/>
      <c r="J4645" s="155">
        <v>0</v>
      </c>
    </row>
    <row r="4646" spans="1:10" ht="15" hidden="1" thickBot="1" x14ac:dyDescent="0.35">
      <c r="A4646" s="229"/>
      <c r="B4646" s="224"/>
      <c r="C4646" s="36" t="s">
        <v>68</v>
      </c>
      <c r="D4646" s="36" t="s">
        <v>12</v>
      </c>
      <c r="E4646" s="37">
        <v>0.15</v>
      </c>
      <c r="F4646" s="34">
        <v>18.861499999999999</v>
      </c>
      <c r="G4646" s="34">
        <f t="shared" si="80"/>
        <v>2.8292249999999997</v>
      </c>
      <c r="H4646" s="39">
        <f>SUM(G4646:G4647)</f>
        <v>2.8292249999999997</v>
      </c>
      <c r="I4646" s="40"/>
      <c r="J4646" s="155">
        <v>0</v>
      </c>
    </row>
    <row r="4647" spans="1:10" ht="15" hidden="1" thickBot="1" x14ac:dyDescent="0.35">
      <c r="A4647" s="229"/>
      <c r="B4647" s="224"/>
      <c r="C4647" s="36" t="s">
        <v>1947</v>
      </c>
      <c r="D4647" s="36" t="s">
        <v>20</v>
      </c>
      <c r="E4647" s="37">
        <v>1</v>
      </c>
      <c r="F4647" s="31" t="s">
        <v>560</v>
      </c>
      <c r="G4647" s="34" t="str">
        <f t="shared" si="80"/>
        <v/>
      </c>
      <c r="H4647" s="35"/>
      <c r="I4647" s="31"/>
      <c r="J4647" s="155">
        <v>0</v>
      </c>
    </row>
    <row r="4648" spans="1:10" ht="15" hidden="1" thickBot="1" x14ac:dyDescent="0.35">
      <c r="A4648" s="230"/>
      <c r="B4648" s="225"/>
      <c r="C4648" s="36"/>
      <c r="D4648" s="36"/>
      <c r="E4648" s="37"/>
      <c r="F4648" s="31" t="s">
        <v>560</v>
      </c>
      <c r="G4648" s="34" t="str">
        <f t="shared" si="80"/>
        <v/>
      </c>
      <c r="H4648" s="35"/>
      <c r="I4648" s="31"/>
      <c r="J4648" s="155">
        <v>0</v>
      </c>
    </row>
    <row r="4649" spans="1:10" ht="15" hidden="1" thickBot="1" x14ac:dyDescent="0.35">
      <c r="A4649" s="226" t="s">
        <v>1869</v>
      </c>
      <c r="B4649" s="223" t="e">
        <f>INDEX(#REF!,MATCH(Composições!A4649,#REF!,0),2)</f>
        <v>#REF!</v>
      </c>
      <c r="C4649" s="41"/>
      <c r="D4649" s="26" t="e">
        <f>TRIM(INDEX(#REF!,MATCH(Composições!A4649,#REF!,0),1))</f>
        <v>#REF!</v>
      </c>
      <c r="E4649" s="27"/>
      <c r="F4649" s="42" t="s">
        <v>560</v>
      </c>
      <c r="G4649" s="28" t="str">
        <f t="shared" si="80"/>
        <v/>
      </c>
      <c r="H4649" s="29"/>
      <c r="I4649" s="30"/>
      <c r="J4649" s="155">
        <v>0</v>
      </c>
    </row>
    <row r="4650" spans="1:10" ht="15" hidden="1" thickBot="1" x14ac:dyDescent="0.35">
      <c r="A4650" s="229"/>
      <c r="B4650" s="224"/>
      <c r="C4650" s="32"/>
      <c r="D4650" s="32"/>
      <c r="E4650" s="33"/>
      <c r="F4650" s="43" t="s">
        <v>560</v>
      </c>
      <c r="G4650" s="34" t="str">
        <f t="shared" si="80"/>
        <v/>
      </c>
      <c r="H4650" s="35"/>
      <c r="I4650" s="31"/>
      <c r="J4650" s="155">
        <v>0</v>
      </c>
    </row>
    <row r="4651" spans="1:10" ht="15" hidden="1" thickBot="1" x14ac:dyDescent="0.35">
      <c r="A4651" s="229"/>
      <c r="B4651" s="224"/>
      <c r="C4651" s="36" t="s">
        <v>68</v>
      </c>
      <c r="D4651" s="36" t="s">
        <v>12</v>
      </c>
      <c r="E4651" s="37">
        <v>0.15</v>
      </c>
      <c r="F4651" s="34">
        <v>18.861499999999999</v>
      </c>
      <c r="G4651" s="34">
        <f t="shared" si="80"/>
        <v>2.8292249999999997</v>
      </c>
      <c r="H4651" s="39">
        <f>SUM(G4651:G4652)</f>
        <v>2.8292249999999997</v>
      </c>
      <c r="I4651" s="40"/>
      <c r="J4651" s="155">
        <v>0</v>
      </c>
    </row>
    <row r="4652" spans="1:10" ht="15" hidden="1" thickBot="1" x14ac:dyDescent="0.35">
      <c r="A4652" s="229"/>
      <c r="B4652" s="224"/>
      <c r="C4652" s="36" t="s">
        <v>1948</v>
      </c>
      <c r="D4652" s="36" t="s">
        <v>20</v>
      </c>
      <c r="E4652" s="37">
        <v>1</v>
      </c>
      <c r="F4652" s="31" t="s">
        <v>560</v>
      </c>
      <c r="G4652" s="34" t="str">
        <f t="shared" si="80"/>
        <v/>
      </c>
      <c r="H4652" s="35"/>
      <c r="I4652" s="31"/>
      <c r="J4652" s="155">
        <v>0</v>
      </c>
    </row>
    <row r="4653" spans="1:10" ht="15" hidden="1" thickBot="1" x14ac:dyDescent="0.35">
      <c r="A4653" s="230"/>
      <c r="B4653" s="225"/>
      <c r="C4653" s="36"/>
      <c r="D4653" s="36"/>
      <c r="E4653" s="37"/>
      <c r="F4653" s="31" t="s">
        <v>560</v>
      </c>
      <c r="G4653" s="34" t="str">
        <f t="shared" si="80"/>
        <v/>
      </c>
      <c r="H4653" s="35"/>
      <c r="I4653" s="31"/>
      <c r="J4653" s="155">
        <v>0</v>
      </c>
    </row>
    <row r="4654" spans="1:10" ht="15" hidden="1" thickBot="1" x14ac:dyDescent="0.35">
      <c r="A4654" s="226" t="s">
        <v>1870</v>
      </c>
      <c r="B4654" s="223" t="e">
        <f>INDEX(#REF!,MATCH(Composições!A4654,#REF!,0),2)</f>
        <v>#REF!</v>
      </c>
      <c r="C4654" s="41"/>
      <c r="D4654" s="26" t="e">
        <f>TRIM(INDEX(#REF!,MATCH(Composições!A4654,#REF!,0),1))</f>
        <v>#REF!</v>
      </c>
      <c r="E4654" s="27"/>
      <c r="F4654" s="42" t="s">
        <v>560</v>
      </c>
      <c r="G4654" s="28" t="str">
        <f t="shared" si="80"/>
        <v/>
      </c>
      <c r="H4654" s="29"/>
      <c r="I4654" s="30"/>
      <c r="J4654" s="155">
        <v>0</v>
      </c>
    </row>
    <row r="4655" spans="1:10" ht="15" hidden="1" thickBot="1" x14ac:dyDescent="0.35">
      <c r="A4655" s="229"/>
      <c r="B4655" s="224"/>
      <c r="C4655" s="32"/>
      <c r="D4655" s="32"/>
      <c r="E4655" s="33"/>
      <c r="F4655" s="43" t="s">
        <v>560</v>
      </c>
      <c r="G4655" s="34" t="str">
        <f t="shared" si="80"/>
        <v/>
      </c>
      <c r="H4655" s="35"/>
      <c r="I4655" s="31"/>
      <c r="J4655" s="155">
        <v>0</v>
      </c>
    </row>
    <row r="4656" spans="1:10" ht="15" hidden="1" thickBot="1" x14ac:dyDescent="0.35">
      <c r="A4656" s="229"/>
      <c r="B4656" s="224"/>
      <c r="C4656" s="36" t="s">
        <v>68</v>
      </c>
      <c r="D4656" s="36" t="s">
        <v>12</v>
      </c>
      <c r="E4656" s="37">
        <v>0.15</v>
      </c>
      <c r="F4656" s="34">
        <v>18.861499999999999</v>
      </c>
      <c r="G4656" s="34">
        <f t="shared" si="80"/>
        <v>2.8292249999999997</v>
      </c>
      <c r="H4656" s="39">
        <f>SUM(G4656:G4657)</f>
        <v>2.8292249999999997</v>
      </c>
      <c r="I4656" s="40"/>
      <c r="J4656" s="155">
        <v>0</v>
      </c>
    </row>
    <row r="4657" spans="1:10" ht="27" hidden="1" thickBot="1" x14ac:dyDescent="0.35">
      <c r="A4657" s="229"/>
      <c r="B4657" s="224"/>
      <c r="C4657" s="36" t="s">
        <v>1949</v>
      </c>
      <c r="D4657" s="36" t="s">
        <v>20</v>
      </c>
      <c r="E4657" s="37">
        <v>1</v>
      </c>
      <c r="F4657" s="31" t="s">
        <v>560</v>
      </c>
      <c r="G4657" s="34" t="str">
        <f t="shared" si="80"/>
        <v/>
      </c>
      <c r="H4657" s="35"/>
      <c r="I4657" s="31"/>
      <c r="J4657" s="155">
        <v>0</v>
      </c>
    </row>
    <row r="4658" spans="1:10" ht="15" hidden="1" thickBot="1" x14ac:dyDescent="0.35">
      <c r="A4658" s="230"/>
      <c r="B4658" s="225"/>
      <c r="C4658" s="36"/>
      <c r="D4658" s="36"/>
      <c r="E4658" s="37"/>
      <c r="F4658" s="31" t="s">
        <v>560</v>
      </c>
      <c r="G4658" s="34" t="str">
        <f t="shared" si="80"/>
        <v/>
      </c>
      <c r="H4658" s="35"/>
      <c r="I4658" s="31"/>
      <c r="J4658" s="155">
        <v>0</v>
      </c>
    </row>
    <row r="4659" spans="1:10" ht="15.75" hidden="1" customHeight="1" thickBot="1" x14ac:dyDescent="0.35">
      <c r="A4659" s="226" t="s">
        <v>1871</v>
      </c>
      <c r="B4659" s="223" t="e">
        <f>INDEX(#REF!,MATCH(Composições!A4659,#REF!,0),2)</f>
        <v>#REF!</v>
      </c>
      <c r="C4659" s="41"/>
      <c r="D4659" s="26" t="e">
        <f>TRIM(INDEX(#REF!,MATCH(Composições!A4659,#REF!,0),1))</f>
        <v>#REF!</v>
      </c>
      <c r="E4659" s="27"/>
      <c r="F4659" s="42" t="s">
        <v>560</v>
      </c>
      <c r="G4659" s="28" t="str">
        <f t="shared" si="80"/>
        <v/>
      </c>
      <c r="H4659" s="29"/>
      <c r="I4659" s="30"/>
      <c r="J4659" s="155">
        <v>0</v>
      </c>
    </row>
    <row r="4660" spans="1:10" ht="15" hidden="1" thickBot="1" x14ac:dyDescent="0.35">
      <c r="A4660" s="227"/>
      <c r="B4660" s="224"/>
      <c r="C4660" s="32"/>
      <c r="D4660" s="32"/>
      <c r="E4660" s="33"/>
      <c r="F4660" s="43" t="s">
        <v>560</v>
      </c>
      <c r="G4660" s="34" t="str">
        <f t="shared" si="80"/>
        <v/>
      </c>
      <c r="H4660" s="35"/>
      <c r="I4660" s="31"/>
      <c r="J4660" s="155">
        <v>0</v>
      </c>
    </row>
    <row r="4661" spans="1:10" ht="15" hidden="1" thickBot="1" x14ac:dyDescent="0.35">
      <c r="A4661" s="227"/>
      <c r="B4661" s="224"/>
      <c r="C4661" s="36" t="s">
        <v>68</v>
      </c>
      <c r="D4661" s="36" t="s">
        <v>12</v>
      </c>
      <c r="E4661" s="37">
        <v>0.2</v>
      </c>
      <c r="F4661" s="34">
        <v>18.861499999999999</v>
      </c>
      <c r="G4661" s="34">
        <f t="shared" si="80"/>
        <v>3.7723</v>
      </c>
      <c r="H4661" s="39">
        <f>SUM(G4661:G4662)</f>
        <v>8.0948560000000001</v>
      </c>
      <c r="I4661" s="40"/>
      <c r="J4661" s="155">
        <v>0</v>
      </c>
    </row>
    <row r="4662" spans="1:10" ht="15" hidden="1" thickBot="1" x14ac:dyDescent="0.35">
      <c r="A4662" s="227"/>
      <c r="B4662" s="224"/>
      <c r="C4662" s="36" t="s">
        <v>876</v>
      </c>
      <c r="D4662" s="36" t="s">
        <v>42</v>
      </c>
      <c r="E4662" s="37">
        <v>0.126</v>
      </c>
      <c r="F4662" s="31">
        <v>34.305999999999997</v>
      </c>
      <c r="G4662" s="34">
        <f t="shared" si="80"/>
        <v>4.3225559999999996</v>
      </c>
      <c r="H4662" s="35"/>
      <c r="I4662" s="31"/>
      <c r="J4662" s="155">
        <v>0</v>
      </c>
    </row>
    <row r="4663" spans="1:10" ht="15" hidden="1" thickBot="1" x14ac:dyDescent="0.35">
      <c r="A4663" s="227"/>
      <c r="B4663" s="224"/>
      <c r="C4663" s="36"/>
      <c r="D4663" s="36"/>
      <c r="E4663" s="37"/>
      <c r="F4663" s="31" t="s">
        <v>560</v>
      </c>
      <c r="G4663" s="34"/>
      <c r="H4663" s="35"/>
      <c r="I4663" s="31"/>
      <c r="J4663" s="155">
        <v>0</v>
      </c>
    </row>
    <row r="4664" spans="1:10" ht="15" hidden="1" thickBot="1" x14ac:dyDescent="0.35">
      <c r="A4664" s="227"/>
      <c r="B4664" s="224"/>
      <c r="C4664" s="52" t="s">
        <v>1951</v>
      </c>
      <c r="D4664" s="36"/>
      <c r="E4664" s="37"/>
      <c r="F4664" s="31" t="s">
        <v>560</v>
      </c>
      <c r="G4664" s="34"/>
      <c r="H4664" s="35"/>
      <c r="I4664" s="31"/>
      <c r="J4664" s="155">
        <v>0</v>
      </c>
    </row>
    <row r="4665" spans="1:10" ht="15" hidden="1" thickBot="1" x14ac:dyDescent="0.35">
      <c r="A4665" s="227"/>
      <c r="B4665" s="224"/>
      <c r="C4665" s="52" t="s">
        <v>1950</v>
      </c>
      <c r="D4665" s="36"/>
      <c r="E4665" s="37"/>
      <c r="F4665" s="31" t="s">
        <v>560</v>
      </c>
      <c r="G4665" s="34" t="str">
        <f>IF(ISNUMBER(F4665),E4665*F4665,"")</f>
        <v/>
      </c>
      <c r="H4665" s="35"/>
      <c r="I4665" s="31"/>
      <c r="J4665" s="155">
        <v>0</v>
      </c>
    </row>
    <row r="4666" spans="1:10" ht="15" hidden="1" thickBot="1" x14ac:dyDescent="0.35">
      <c r="A4666" s="228"/>
      <c r="B4666" s="225"/>
      <c r="C4666" s="52"/>
      <c r="D4666" s="36"/>
      <c r="E4666" s="37"/>
      <c r="F4666" s="31" t="s">
        <v>560</v>
      </c>
      <c r="G4666" s="34"/>
      <c r="H4666" s="35"/>
      <c r="I4666" s="31"/>
      <c r="J4666" s="155">
        <v>0</v>
      </c>
    </row>
    <row r="4667" spans="1:10" ht="15" hidden="1" thickBot="1" x14ac:dyDescent="0.35">
      <c r="A4667" s="226" t="s">
        <v>1872</v>
      </c>
      <c r="B4667" s="223" t="e">
        <f>INDEX(#REF!,MATCH(Composições!A4667,#REF!,0),2)</f>
        <v>#REF!</v>
      </c>
      <c r="C4667" s="41"/>
      <c r="D4667" s="26" t="e">
        <f>TRIM(INDEX(#REF!,MATCH(Composições!A4667,#REF!,0),1))</f>
        <v>#REF!</v>
      </c>
      <c r="E4667" s="27"/>
      <c r="F4667" s="42" t="s">
        <v>560</v>
      </c>
      <c r="G4667" s="28" t="str">
        <f>IF(ISNUMBER(F4667),E4667*F4667,"")</f>
        <v/>
      </c>
      <c r="H4667" s="29"/>
      <c r="I4667" s="30"/>
      <c r="J4667" s="155">
        <v>0</v>
      </c>
    </row>
    <row r="4668" spans="1:10" ht="15" hidden="1" thickBot="1" x14ac:dyDescent="0.35">
      <c r="A4668" s="229"/>
      <c r="B4668" s="224"/>
      <c r="C4668" s="32"/>
      <c r="D4668" s="32"/>
      <c r="E4668" s="33"/>
      <c r="F4668" s="43" t="s">
        <v>560</v>
      </c>
      <c r="G4668" s="34" t="str">
        <f>IF(ISNUMBER(F4668),E4668*F4668,"")</f>
        <v/>
      </c>
      <c r="H4668" s="35"/>
      <c r="I4668" s="31"/>
      <c r="J4668" s="155">
        <v>0</v>
      </c>
    </row>
    <row r="4669" spans="1:10" ht="15" hidden="1" thickBot="1" x14ac:dyDescent="0.35">
      <c r="A4669" s="229"/>
      <c r="B4669" s="224"/>
      <c r="C4669" s="36" t="s">
        <v>68</v>
      </c>
      <c r="D4669" s="36" t="s">
        <v>12</v>
      </c>
      <c r="E4669" s="37">
        <v>0.2</v>
      </c>
      <c r="F4669" s="34">
        <v>18.861499999999999</v>
      </c>
      <c r="G4669" s="34">
        <f>IF(ISNUMBER(F4669),E4669*F4669,"")</f>
        <v>3.7723</v>
      </c>
      <c r="H4669" s="39">
        <f>SUM(G4669:G4670)</f>
        <v>11.491149999999999</v>
      </c>
      <c r="I4669" s="40"/>
      <c r="J4669" s="155">
        <v>0</v>
      </c>
    </row>
    <row r="4670" spans="1:10" ht="15" hidden="1" thickBot="1" x14ac:dyDescent="0.35">
      <c r="A4670" s="229"/>
      <c r="B4670" s="224"/>
      <c r="C4670" s="36" t="s">
        <v>876</v>
      </c>
      <c r="D4670" s="36" t="s">
        <v>42</v>
      </c>
      <c r="E4670" s="37">
        <v>0.22500000000000001</v>
      </c>
      <c r="F4670" s="31">
        <v>34.305999999999997</v>
      </c>
      <c r="G4670" s="34">
        <f>IF(ISNUMBER(F4670),E4670*F4670,"")</f>
        <v>7.7188499999999998</v>
      </c>
      <c r="H4670" s="35"/>
      <c r="I4670" s="31"/>
      <c r="J4670" s="155">
        <v>0</v>
      </c>
    </row>
    <row r="4671" spans="1:10" ht="15" hidden="1" thickBot="1" x14ac:dyDescent="0.35">
      <c r="A4671" s="229"/>
      <c r="B4671" s="224"/>
      <c r="C4671" s="36"/>
      <c r="D4671" s="36"/>
      <c r="E4671" s="37"/>
      <c r="F4671" s="31" t="s">
        <v>560</v>
      </c>
      <c r="G4671" s="34"/>
      <c r="H4671" s="35"/>
      <c r="I4671" s="31"/>
      <c r="J4671" s="155">
        <v>0</v>
      </c>
    </row>
    <row r="4672" spans="1:10" ht="15" hidden="1" thickBot="1" x14ac:dyDescent="0.35">
      <c r="A4672" s="229"/>
      <c r="B4672" s="224"/>
      <c r="C4672" s="52" t="s">
        <v>1952</v>
      </c>
      <c r="D4672" s="36"/>
      <c r="E4672" s="37"/>
      <c r="F4672" s="31" t="s">
        <v>560</v>
      </c>
      <c r="G4672" s="34"/>
      <c r="H4672" s="35"/>
      <c r="I4672" s="31"/>
      <c r="J4672" s="155">
        <v>0</v>
      </c>
    </row>
    <row r="4673" spans="1:10" ht="15" hidden="1" thickBot="1" x14ac:dyDescent="0.35">
      <c r="A4673" s="229"/>
      <c r="B4673" s="224"/>
      <c r="C4673" s="52" t="s">
        <v>1950</v>
      </c>
      <c r="D4673" s="36"/>
      <c r="E4673" s="37"/>
      <c r="F4673" s="31" t="s">
        <v>560</v>
      </c>
      <c r="G4673" s="34"/>
      <c r="H4673" s="35"/>
      <c r="I4673" s="31"/>
      <c r="J4673" s="155">
        <v>0</v>
      </c>
    </row>
    <row r="4674" spans="1:10" ht="15" hidden="1" thickBot="1" x14ac:dyDescent="0.35">
      <c r="A4674" s="230"/>
      <c r="B4674" s="225"/>
      <c r="C4674" s="36"/>
      <c r="D4674" s="36"/>
      <c r="E4674" s="37"/>
      <c r="F4674" s="31" t="s">
        <v>560</v>
      </c>
      <c r="G4674" s="34" t="str">
        <f>IF(ISNUMBER(F4674),E4674*F4674,"")</f>
        <v/>
      </c>
      <c r="H4674" s="35"/>
      <c r="I4674" s="31"/>
      <c r="J4674" s="155">
        <v>0</v>
      </c>
    </row>
    <row r="4675" spans="1:10" ht="15" hidden="1" thickBot="1" x14ac:dyDescent="0.35">
      <c r="A4675" s="226" t="s">
        <v>1873</v>
      </c>
      <c r="B4675" s="223" t="e">
        <f>INDEX(#REF!,MATCH(Composições!A4675,#REF!,0),2)</f>
        <v>#REF!</v>
      </c>
      <c r="C4675" s="41"/>
      <c r="D4675" s="26" t="e">
        <f>TRIM(INDEX(#REF!,MATCH(Composições!A4675,#REF!,0),1))</f>
        <v>#REF!</v>
      </c>
      <c r="E4675" s="27"/>
      <c r="F4675" s="42" t="s">
        <v>560</v>
      </c>
      <c r="G4675" s="28" t="str">
        <f>IF(ISNUMBER(F4675),E4675*F4675,"")</f>
        <v/>
      </c>
      <c r="H4675" s="29"/>
      <c r="I4675" s="30"/>
      <c r="J4675" s="155">
        <v>0</v>
      </c>
    </row>
    <row r="4676" spans="1:10" ht="15" hidden="1" thickBot="1" x14ac:dyDescent="0.35">
      <c r="A4676" s="229"/>
      <c r="B4676" s="224"/>
      <c r="C4676" s="32"/>
      <c r="D4676" s="32"/>
      <c r="E4676" s="33"/>
      <c r="F4676" s="43" t="s">
        <v>560</v>
      </c>
      <c r="G4676" s="34" t="str">
        <f>IF(ISNUMBER(F4676),E4676*F4676,"")</f>
        <v/>
      </c>
      <c r="H4676" s="35"/>
      <c r="I4676" s="31"/>
      <c r="J4676" s="155">
        <v>0</v>
      </c>
    </row>
    <row r="4677" spans="1:10" ht="15" hidden="1" thickBot="1" x14ac:dyDescent="0.35">
      <c r="A4677" s="229"/>
      <c r="B4677" s="224"/>
      <c r="C4677" s="36" t="s">
        <v>68</v>
      </c>
      <c r="D4677" s="36" t="s">
        <v>12</v>
      </c>
      <c r="E4677" s="37">
        <v>0.15</v>
      </c>
      <c r="F4677" s="34">
        <v>18.861499999999999</v>
      </c>
      <c r="G4677" s="34">
        <f>IF(ISNUMBER(F4677),E4677*F4677,"")</f>
        <v>2.8292249999999997</v>
      </c>
      <c r="H4677" s="39">
        <f>SUM(G4677:G4678)</f>
        <v>4.716054999999999</v>
      </c>
      <c r="I4677" s="40"/>
      <c r="J4677" s="155">
        <v>0</v>
      </c>
    </row>
    <row r="4678" spans="1:10" ht="15" hidden="1" thickBot="1" x14ac:dyDescent="0.35">
      <c r="A4678" s="229"/>
      <c r="B4678" s="224"/>
      <c r="C4678" s="36" t="s">
        <v>876</v>
      </c>
      <c r="D4678" s="36" t="s">
        <v>42</v>
      </c>
      <c r="E4678" s="37">
        <v>5.5E-2</v>
      </c>
      <c r="F4678" s="31">
        <v>34.305999999999997</v>
      </c>
      <c r="G4678" s="34">
        <f>IF(ISNUMBER(F4678),E4678*F4678,"")</f>
        <v>1.8868299999999998</v>
      </c>
      <c r="H4678" s="35"/>
      <c r="I4678" s="31"/>
      <c r="J4678" s="155">
        <v>0</v>
      </c>
    </row>
    <row r="4679" spans="1:10" ht="15" hidden="1" thickBot="1" x14ac:dyDescent="0.35">
      <c r="A4679" s="229"/>
      <c r="B4679" s="224"/>
      <c r="C4679" s="36"/>
      <c r="D4679" s="36"/>
      <c r="E4679" s="37"/>
      <c r="F4679" s="31" t="s">
        <v>560</v>
      </c>
      <c r="G4679" s="34"/>
      <c r="H4679" s="35"/>
      <c r="I4679" s="31"/>
      <c r="J4679" s="155">
        <v>0</v>
      </c>
    </row>
    <row r="4680" spans="1:10" ht="15" hidden="1" thickBot="1" x14ac:dyDescent="0.35">
      <c r="A4680" s="229"/>
      <c r="B4680" s="224"/>
      <c r="C4680" s="52" t="s">
        <v>1953</v>
      </c>
      <c r="D4680" s="36"/>
      <c r="E4680" s="37"/>
      <c r="F4680" s="31" t="s">
        <v>560</v>
      </c>
      <c r="G4680" s="34"/>
      <c r="H4680" s="35"/>
      <c r="I4680" s="31"/>
      <c r="J4680" s="155">
        <v>0</v>
      </c>
    </row>
    <row r="4681" spans="1:10" ht="15" hidden="1" thickBot="1" x14ac:dyDescent="0.35">
      <c r="A4681" s="229"/>
      <c r="B4681" s="224"/>
      <c r="C4681" s="52" t="s">
        <v>1950</v>
      </c>
      <c r="D4681" s="36"/>
      <c r="E4681" s="37"/>
      <c r="F4681" s="31" t="s">
        <v>560</v>
      </c>
      <c r="G4681" s="34"/>
      <c r="H4681" s="35"/>
      <c r="I4681" s="31"/>
      <c r="J4681" s="155">
        <v>0</v>
      </c>
    </row>
    <row r="4682" spans="1:10" ht="15" hidden="1" thickBot="1" x14ac:dyDescent="0.35">
      <c r="A4682" s="230"/>
      <c r="B4682" s="225"/>
      <c r="C4682" s="36"/>
      <c r="D4682" s="36"/>
      <c r="E4682" s="37"/>
      <c r="F4682" s="31" t="s">
        <v>560</v>
      </c>
      <c r="G4682" s="34" t="str">
        <f>IF(ISNUMBER(F4682),E4682*F4682,"")</f>
        <v/>
      </c>
      <c r="H4682" s="35"/>
      <c r="I4682" s="31"/>
      <c r="J4682" s="155">
        <v>0</v>
      </c>
    </row>
    <row r="4683" spans="1:10" ht="15" hidden="1" thickBot="1" x14ac:dyDescent="0.35">
      <c r="A4683" s="226" t="s">
        <v>1874</v>
      </c>
      <c r="B4683" s="223" t="e">
        <f>INDEX(#REF!,MATCH(Composições!A4683,#REF!,0),2)</f>
        <v>#REF!</v>
      </c>
      <c r="C4683" s="41"/>
      <c r="D4683" s="26" t="e">
        <f>TRIM(INDEX(#REF!,MATCH(Composições!A4683,#REF!,0),1))</f>
        <v>#REF!</v>
      </c>
      <c r="E4683" s="27"/>
      <c r="F4683" s="42" t="s">
        <v>560</v>
      </c>
      <c r="G4683" s="28" t="str">
        <f>IF(ISNUMBER(F4683),E4683*F4683,"")</f>
        <v/>
      </c>
      <c r="H4683" s="29"/>
      <c r="I4683" s="30"/>
      <c r="J4683" s="155">
        <v>0</v>
      </c>
    </row>
    <row r="4684" spans="1:10" ht="15" hidden="1" thickBot="1" x14ac:dyDescent="0.35">
      <c r="A4684" s="229"/>
      <c r="B4684" s="224"/>
      <c r="C4684" s="32"/>
      <c r="D4684" s="32"/>
      <c r="E4684" s="33"/>
      <c r="F4684" s="43" t="s">
        <v>560</v>
      </c>
      <c r="G4684" s="34" t="str">
        <f>IF(ISNUMBER(F4684),E4684*F4684,"")</f>
        <v/>
      </c>
      <c r="H4684" s="35"/>
      <c r="I4684" s="31"/>
      <c r="J4684" s="155">
        <v>0</v>
      </c>
    </row>
    <row r="4685" spans="1:10" ht="15" hidden="1" thickBot="1" x14ac:dyDescent="0.35">
      <c r="A4685" s="229"/>
      <c r="B4685" s="224"/>
      <c r="C4685" s="36" t="s">
        <v>68</v>
      </c>
      <c r="D4685" s="36" t="s">
        <v>12</v>
      </c>
      <c r="E4685" s="37">
        <v>0.3</v>
      </c>
      <c r="F4685" s="34">
        <v>18.861499999999999</v>
      </c>
      <c r="G4685" s="34">
        <f>IF(ISNUMBER(F4685),E4685*F4685,"")</f>
        <v>5.6584499999999993</v>
      </c>
      <c r="H4685" s="39">
        <f>SUM(G4685:G4686)</f>
        <v>12.794097999999998</v>
      </c>
      <c r="I4685" s="40"/>
      <c r="J4685" s="155">
        <v>0</v>
      </c>
    </row>
    <row r="4686" spans="1:10" ht="15" hidden="1" thickBot="1" x14ac:dyDescent="0.35">
      <c r="A4686" s="229"/>
      <c r="B4686" s="224"/>
      <c r="C4686" s="36" t="s">
        <v>876</v>
      </c>
      <c r="D4686" s="36" t="s">
        <v>42</v>
      </c>
      <c r="E4686" s="37">
        <v>0.20799999999999999</v>
      </c>
      <c r="F4686" s="31">
        <v>34.305999999999997</v>
      </c>
      <c r="G4686" s="34">
        <f>IF(ISNUMBER(F4686),E4686*F4686,"")</f>
        <v>7.1356479999999989</v>
      </c>
      <c r="H4686" s="35"/>
      <c r="I4686" s="31"/>
      <c r="J4686" s="155">
        <v>0</v>
      </c>
    </row>
    <row r="4687" spans="1:10" ht="15" hidden="1" thickBot="1" x14ac:dyDescent="0.35">
      <c r="A4687" s="229"/>
      <c r="B4687" s="224"/>
      <c r="C4687" s="36"/>
      <c r="D4687" s="36"/>
      <c r="E4687" s="37"/>
      <c r="F4687" s="31" t="s">
        <v>560</v>
      </c>
      <c r="G4687" s="34"/>
      <c r="H4687" s="35"/>
      <c r="I4687" s="31"/>
      <c r="J4687" s="155">
        <v>0</v>
      </c>
    </row>
    <row r="4688" spans="1:10" ht="15" hidden="1" thickBot="1" x14ac:dyDescent="0.35">
      <c r="A4688" s="229"/>
      <c r="B4688" s="224"/>
      <c r="C4688" s="52" t="s">
        <v>1954</v>
      </c>
      <c r="D4688" s="36"/>
      <c r="E4688" s="37"/>
      <c r="F4688" s="31" t="s">
        <v>560</v>
      </c>
      <c r="G4688" s="34"/>
      <c r="H4688" s="35"/>
      <c r="I4688" s="31"/>
      <c r="J4688" s="155">
        <v>0</v>
      </c>
    </row>
    <row r="4689" spans="1:10" ht="15" hidden="1" thickBot="1" x14ac:dyDescent="0.35">
      <c r="A4689" s="229"/>
      <c r="B4689" s="224"/>
      <c r="C4689" s="52" t="s">
        <v>1950</v>
      </c>
      <c r="D4689" s="36"/>
      <c r="E4689" s="37"/>
      <c r="F4689" s="31" t="s">
        <v>560</v>
      </c>
      <c r="G4689" s="34"/>
      <c r="H4689" s="35"/>
      <c r="I4689" s="31"/>
      <c r="J4689" s="155">
        <v>0</v>
      </c>
    </row>
    <row r="4690" spans="1:10" ht="15" hidden="1" thickBot="1" x14ac:dyDescent="0.35">
      <c r="A4690" s="230"/>
      <c r="B4690" s="225"/>
      <c r="C4690" s="36"/>
      <c r="D4690" s="36"/>
      <c r="E4690" s="37"/>
      <c r="F4690" s="31" t="s">
        <v>560</v>
      </c>
      <c r="G4690" s="34" t="str">
        <f>IF(ISNUMBER(F4690),E4690*F4690,"")</f>
        <v/>
      </c>
      <c r="H4690" s="35"/>
      <c r="I4690" s="31"/>
      <c r="J4690" s="155">
        <v>0</v>
      </c>
    </row>
    <row r="4691" spans="1:10" ht="15" hidden="1" thickBot="1" x14ac:dyDescent="0.35">
      <c r="A4691" s="226" t="s">
        <v>1875</v>
      </c>
      <c r="B4691" s="223" t="e">
        <f>INDEX(#REF!,MATCH(Composições!A4691,#REF!,0),2)</f>
        <v>#REF!</v>
      </c>
      <c r="C4691" s="41"/>
      <c r="D4691" s="26" t="e">
        <f>TRIM(INDEX(#REF!,MATCH(Composições!A4691,#REF!,0),1))</f>
        <v>#REF!</v>
      </c>
      <c r="E4691" s="27"/>
      <c r="F4691" s="42" t="s">
        <v>560</v>
      </c>
      <c r="G4691" s="28" t="str">
        <f>IF(ISNUMBER(F4691),E4691*F4691,"")</f>
        <v/>
      </c>
      <c r="H4691" s="29"/>
      <c r="I4691" s="30"/>
      <c r="J4691" s="155">
        <v>0</v>
      </c>
    </row>
    <row r="4692" spans="1:10" ht="15" hidden="1" thickBot="1" x14ac:dyDescent="0.35">
      <c r="A4692" s="229"/>
      <c r="B4692" s="224"/>
      <c r="C4692" s="32"/>
      <c r="D4692" s="32"/>
      <c r="E4692" s="33"/>
      <c r="F4692" s="43" t="s">
        <v>560</v>
      </c>
      <c r="G4692" s="34" t="str">
        <f>IF(ISNUMBER(F4692),E4692*F4692,"")</f>
        <v/>
      </c>
      <c r="H4692" s="35"/>
      <c r="I4692" s="31"/>
      <c r="J4692" s="155">
        <v>0</v>
      </c>
    </row>
    <row r="4693" spans="1:10" ht="15" hidden="1" thickBot="1" x14ac:dyDescent="0.35">
      <c r="A4693" s="229"/>
      <c r="B4693" s="224"/>
      <c r="C4693" s="36" t="s">
        <v>68</v>
      </c>
      <c r="D4693" s="36" t="s">
        <v>12</v>
      </c>
      <c r="E4693" s="37">
        <v>0.3</v>
      </c>
      <c r="F4693" s="34">
        <v>18.861499999999999</v>
      </c>
      <c r="G4693" s="34">
        <f>IF(ISNUMBER(F4693),E4693*F4693,"")</f>
        <v>5.6584499999999993</v>
      </c>
      <c r="H4693" s="39">
        <f>SUM(G4693:G4694)</f>
        <v>14.543703999999998</v>
      </c>
      <c r="I4693" s="40"/>
      <c r="J4693" s="155">
        <v>0</v>
      </c>
    </row>
    <row r="4694" spans="1:10" ht="15" hidden="1" thickBot="1" x14ac:dyDescent="0.35">
      <c r="A4694" s="229"/>
      <c r="B4694" s="224"/>
      <c r="C4694" s="36" t="s">
        <v>876</v>
      </c>
      <c r="D4694" s="36" t="s">
        <v>42</v>
      </c>
      <c r="E4694" s="37">
        <v>0.25900000000000001</v>
      </c>
      <c r="F4694" s="31">
        <v>34.305999999999997</v>
      </c>
      <c r="G4694" s="34">
        <f>IF(ISNUMBER(F4694),E4694*F4694,"")</f>
        <v>8.8852539999999998</v>
      </c>
      <c r="H4694" s="35"/>
      <c r="I4694" s="31"/>
      <c r="J4694" s="155">
        <v>0</v>
      </c>
    </row>
    <row r="4695" spans="1:10" ht="15" hidden="1" thickBot="1" x14ac:dyDescent="0.35">
      <c r="A4695" s="229"/>
      <c r="B4695" s="224"/>
      <c r="C4695" s="36"/>
      <c r="D4695" s="36"/>
      <c r="E4695" s="37"/>
      <c r="F4695" s="31" t="s">
        <v>560</v>
      </c>
      <c r="G4695" s="34"/>
      <c r="H4695" s="35"/>
      <c r="I4695" s="31"/>
      <c r="J4695" s="155">
        <v>0</v>
      </c>
    </row>
    <row r="4696" spans="1:10" ht="15" hidden="1" thickBot="1" x14ac:dyDescent="0.35">
      <c r="A4696" s="229"/>
      <c r="B4696" s="224"/>
      <c r="C4696" s="52" t="s">
        <v>1955</v>
      </c>
      <c r="D4696" s="36"/>
      <c r="E4696" s="37"/>
      <c r="F4696" s="31" t="s">
        <v>560</v>
      </c>
      <c r="G4696" s="34"/>
      <c r="H4696" s="35"/>
      <c r="I4696" s="31"/>
      <c r="J4696" s="155">
        <v>0</v>
      </c>
    </row>
    <row r="4697" spans="1:10" ht="15" hidden="1" thickBot="1" x14ac:dyDescent="0.35">
      <c r="A4697" s="229"/>
      <c r="B4697" s="224"/>
      <c r="C4697" s="52" t="s">
        <v>1950</v>
      </c>
      <c r="D4697" s="36"/>
      <c r="E4697" s="37"/>
      <c r="F4697" s="31" t="s">
        <v>560</v>
      </c>
      <c r="G4697" s="34"/>
      <c r="H4697" s="35"/>
      <c r="I4697" s="31"/>
      <c r="J4697" s="155">
        <v>0</v>
      </c>
    </row>
    <row r="4698" spans="1:10" ht="15" hidden="1" thickBot="1" x14ac:dyDescent="0.35">
      <c r="A4698" s="230"/>
      <c r="B4698" s="225"/>
      <c r="C4698" s="36"/>
      <c r="D4698" s="36"/>
      <c r="E4698" s="37"/>
      <c r="F4698" s="31" t="s">
        <v>560</v>
      </c>
      <c r="G4698" s="34" t="str">
        <f>IF(ISNUMBER(F4698),E4698*F4698,"")</f>
        <v/>
      </c>
      <c r="H4698" s="35"/>
      <c r="I4698" s="31"/>
      <c r="J4698" s="155">
        <v>0</v>
      </c>
    </row>
    <row r="4699" spans="1:10" ht="15" hidden="1" thickBot="1" x14ac:dyDescent="0.35">
      <c r="A4699" s="226" t="s">
        <v>1876</v>
      </c>
      <c r="B4699" s="223" t="e">
        <f>INDEX(#REF!,MATCH(Composições!A4699,#REF!,0),2)</f>
        <v>#REF!</v>
      </c>
      <c r="C4699" s="41"/>
      <c r="D4699" s="26" t="e">
        <f>TRIM(INDEX(#REF!,MATCH(Composições!A4699,#REF!,0),1))</f>
        <v>#REF!</v>
      </c>
      <c r="E4699" s="27"/>
      <c r="F4699" s="42" t="s">
        <v>560</v>
      </c>
      <c r="G4699" s="28" t="str">
        <f>IF(ISNUMBER(F4699),E4699*F4699,"")</f>
        <v/>
      </c>
      <c r="H4699" s="29"/>
      <c r="I4699" s="30"/>
      <c r="J4699" s="155">
        <v>0</v>
      </c>
    </row>
    <row r="4700" spans="1:10" ht="15" hidden="1" thickBot="1" x14ac:dyDescent="0.35">
      <c r="A4700" s="229"/>
      <c r="B4700" s="224"/>
      <c r="C4700" s="32"/>
      <c r="D4700" s="32"/>
      <c r="E4700" s="33"/>
      <c r="F4700" s="43" t="s">
        <v>560</v>
      </c>
      <c r="G4700" s="34" t="str">
        <f>IF(ISNUMBER(F4700),E4700*F4700,"")</f>
        <v/>
      </c>
      <c r="H4700" s="35"/>
      <c r="I4700" s="31"/>
      <c r="J4700" s="155">
        <v>0</v>
      </c>
    </row>
    <row r="4701" spans="1:10" ht="15" hidden="1" thickBot="1" x14ac:dyDescent="0.35">
      <c r="A4701" s="229"/>
      <c r="B4701" s="224"/>
      <c r="C4701" s="36" t="s">
        <v>68</v>
      </c>
      <c r="D4701" s="36" t="s">
        <v>12</v>
      </c>
      <c r="E4701" s="37">
        <v>0.3</v>
      </c>
      <c r="F4701" s="34">
        <v>18.861499999999999</v>
      </c>
      <c r="G4701" s="34">
        <f>IF(ISNUMBER(F4701),E4701*F4701,"")</f>
        <v>5.6584499999999993</v>
      </c>
      <c r="H4701" s="39">
        <f>SUM(G4701:G4702)</f>
        <v>24.046465999999999</v>
      </c>
      <c r="I4701" s="40"/>
      <c r="J4701" s="155">
        <v>0</v>
      </c>
    </row>
    <row r="4702" spans="1:10" ht="15" hidden="1" thickBot="1" x14ac:dyDescent="0.35">
      <c r="A4702" s="229"/>
      <c r="B4702" s="224"/>
      <c r="C4702" s="36" t="s">
        <v>876</v>
      </c>
      <c r="D4702" s="36" t="s">
        <v>42</v>
      </c>
      <c r="E4702" s="37">
        <v>0.53600000000000003</v>
      </c>
      <c r="F4702" s="31">
        <v>34.305999999999997</v>
      </c>
      <c r="G4702" s="34">
        <f>IF(ISNUMBER(F4702),E4702*F4702,"")</f>
        <v>18.388016</v>
      </c>
      <c r="H4702" s="35"/>
      <c r="I4702" s="31"/>
      <c r="J4702" s="155">
        <v>0</v>
      </c>
    </row>
    <row r="4703" spans="1:10" ht="15" hidden="1" thickBot="1" x14ac:dyDescent="0.35">
      <c r="A4703" s="229"/>
      <c r="B4703" s="224"/>
      <c r="C4703" s="36"/>
      <c r="D4703" s="36"/>
      <c r="E4703" s="37"/>
      <c r="F4703" s="31" t="s">
        <v>560</v>
      </c>
      <c r="G4703" s="34"/>
      <c r="H4703" s="35"/>
      <c r="I4703" s="31"/>
      <c r="J4703" s="155">
        <v>0</v>
      </c>
    </row>
    <row r="4704" spans="1:10" ht="15" hidden="1" thickBot="1" x14ac:dyDescent="0.35">
      <c r="A4704" s="229"/>
      <c r="B4704" s="224"/>
      <c r="C4704" s="52" t="s">
        <v>1956</v>
      </c>
      <c r="D4704" s="36"/>
      <c r="E4704" s="37"/>
      <c r="F4704" s="31" t="s">
        <v>560</v>
      </c>
      <c r="G4704" s="34"/>
      <c r="H4704" s="35"/>
      <c r="I4704" s="31"/>
      <c r="J4704" s="155">
        <v>0</v>
      </c>
    </row>
    <row r="4705" spans="1:10" ht="15" hidden="1" thickBot="1" x14ac:dyDescent="0.35">
      <c r="A4705" s="229"/>
      <c r="B4705" s="224"/>
      <c r="C4705" s="52" t="s">
        <v>1950</v>
      </c>
      <c r="D4705" s="36"/>
      <c r="E4705" s="37"/>
      <c r="F4705" s="31" t="s">
        <v>560</v>
      </c>
      <c r="G4705" s="34"/>
      <c r="H4705" s="35"/>
      <c r="I4705" s="31"/>
      <c r="J4705" s="155">
        <v>0</v>
      </c>
    </row>
    <row r="4706" spans="1:10" ht="15" hidden="1" thickBot="1" x14ac:dyDescent="0.35">
      <c r="A4706" s="230"/>
      <c r="B4706" s="225"/>
      <c r="C4706" s="36"/>
      <c r="D4706" s="36"/>
      <c r="E4706" s="37"/>
      <c r="F4706" s="31" t="s">
        <v>560</v>
      </c>
      <c r="G4706" s="34" t="str">
        <f>IF(ISNUMBER(F4706),E4706*F4706,"")</f>
        <v/>
      </c>
      <c r="H4706" s="35"/>
      <c r="I4706" s="31"/>
      <c r="J4706" s="155">
        <v>0</v>
      </c>
    </row>
    <row r="4707" spans="1:10" ht="15" hidden="1" thickBot="1" x14ac:dyDescent="0.35">
      <c r="A4707" s="226" t="s">
        <v>1877</v>
      </c>
      <c r="B4707" s="223" t="e">
        <f>INDEX(#REF!,MATCH(Composições!A4707,#REF!,0),2)</f>
        <v>#REF!</v>
      </c>
      <c r="C4707" s="41"/>
      <c r="D4707" s="26" t="e">
        <f>TRIM(INDEX(#REF!,MATCH(Composições!A4707,#REF!,0),1))</f>
        <v>#REF!</v>
      </c>
      <c r="E4707" s="27"/>
      <c r="F4707" s="42" t="s">
        <v>560</v>
      </c>
      <c r="G4707" s="28" t="str">
        <f>IF(ISNUMBER(F4707),E4707*F4707,"")</f>
        <v/>
      </c>
      <c r="H4707" s="29"/>
      <c r="I4707" s="30"/>
      <c r="J4707" s="155">
        <v>0</v>
      </c>
    </row>
    <row r="4708" spans="1:10" ht="15" hidden="1" thickBot="1" x14ac:dyDescent="0.35">
      <c r="A4708" s="229"/>
      <c r="B4708" s="224"/>
      <c r="C4708" s="32"/>
      <c r="D4708" s="32"/>
      <c r="E4708" s="33"/>
      <c r="F4708" s="43" t="s">
        <v>560</v>
      </c>
      <c r="G4708" s="34" t="str">
        <f>IF(ISNUMBER(F4708),E4708*F4708,"")</f>
        <v/>
      </c>
      <c r="H4708" s="35"/>
      <c r="I4708" s="31"/>
      <c r="J4708" s="155">
        <v>0</v>
      </c>
    </row>
    <row r="4709" spans="1:10" ht="15" hidden="1" thickBot="1" x14ac:dyDescent="0.35">
      <c r="A4709" s="229"/>
      <c r="B4709" s="224"/>
      <c r="C4709" s="36" t="s">
        <v>68</v>
      </c>
      <c r="D4709" s="36" t="s">
        <v>12</v>
      </c>
      <c r="E4709" s="37">
        <v>0.2</v>
      </c>
      <c r="F4709" s="34">
        <v>18.861499999999999</v>
      </c>
      <c r="G4709" s="34">
        <f>IF(ISNUMBER(F4709),E4709*F4709,"")</f>
        <v>3.7723</v>
      </c>
      <c r="H4709" s="39">
        <f>SUM(G4709:G4710)</f>
        <v>7.3744299999999994</v>
      </c>
      <c r="I4709" s="40"/>
      <c r="J4709" s="155">
        <v>0</v>
      </c>
    </row>
    <row r="4710" spans="1:10" ht="15" hidden="1" thickBot="1" x14ac:dyDescent="0.35">
      <c r="A4710" s="229"/>
      <c r="B4710" s="224"/>
      <c r="C4710" s="36" t="s">
        <v>876</v>
      </c>
      <c r="D4710" s="36" t="s">
        <v>42</v>
      </c>
      <c r="E4710" s="37">
        <v>0.105</v>
      </c>
      <c r="F4710" s="31">
        <v>34.305999999999997</v>
      </c>
      <c r="G4710" s="34">
        <f>IF(ISNUMBER(F4710),E4710*F4710,"")</f>
        <v>3.6021299999999994</v>
      </c>
      <c r="H4710" s="35"/>
      <c r="I4710" s="31"/>
      <c r="J4710" s="155">
        <v>0</v>
      </c>
    </row>
    <row r="4711" spans="1:10" ht="15" hidden="1" thickBot="1" x14ac:dyDescent="0.35">
      <c r="A4711" s="229"/>
      <c r="B4711" s="224"/>
      <c r="C4711" s="36"/>
      <c r="D4711" s="36"/>
      <c r="E4711" s="37"/>
      <c r="F4711" s="31" t="s">
        <v>560</v>
      </c>
      <c r="G4711" s="34"/>
      <c r="H4711" s="35"/>
      <c r="I4711" s="31"/>
      <c r="J4711" s="155">
        <v>0</v>
      </c>
    </row>
    <row r="4712" spans="1:10" ht="15" hidden="1" thickBot="1" x14ac:dyDescent="0.35">
      <c r="A4712" s="229"/>
      <c r="B4712" s="224"/>
      <c r="C4712" s="52" t="s">
        <v>1957</v>
      </c>
      <c r="D4712" s="36"/>
      <c r="E4712" s="37"/>
      <c r="F4712" s="31" t="s">
        <v>560</v>
      </c>
      <c r="G4712" s="34"/>
      <c r="H4712" s="35"/>
      <c r="I4712" s="31"/>
      <c r="J4712" s="155">
        <v>0</v>
      </c>
    </row>
    <row r="4713" spans="1:10" ht="15" hidden="1" thickBot="1" x14ac:dyDescent="0.35">
      <c r="A4713" s="229"/>
      <c r="B4713" s="224"/>
      <c r="C4713" s="52" t="s">
        <v>1950</v>
      </c>
      <c r="D4713" s="36"/>
      <c r="E4713" s="37"/>
      <c r="F4713" s="31" t="s">
        <v>560</v>
      </c>
      <c r="G4713" s="34"/>
      <c r="H4713" s="35"/>
      <c r="I4713" s="31"/>
      <c r="J4713" s="155">
        <v>0</v>
      </c>
    </row>
    <row r="4714" spans="1:10" ht="15" hidden="1" thickBot="1" x14ac:dyDescent="0.35">
      <c r="A4714" s="230"/>
      <c r="B4714" s="225"/>
      <c r="C4714" s="36"/>
      <c r="D4714" s="36"/>
      <c r="E4714" s="37"/>
      <c r="F4714" s="31" t="s">
        <v>560</v>
      </c>
      <c r="G4714" s="34" t="str">
        <f>IF(ISNUMBER(F4714),E4714*F4714,"")</f>
        <v/>
      </c>
      <c r="H4714" s="35"/>
      <c r="I4714" s="31"/>
      <c r="J4714" s="155">
        <v>0</v>
      </c>
    </row>
    <row r="4715" spans="1:10" ht="15" hidden="1" thickBot="1" x14ac:dyDescent="0.35">
      <c r="A4715" s="226" t="s">
        <v>1878</v>
      </c>
      <c r="B4715" s="223" t="e">
        <f>INDEX(#REF!,MATCH(Composições!A4715,#REF!,0),2)</f>
        <v>#REF!</v>
      </c>
      <c r="C4715" s="41"/>
      <c r="D4715" s="26" t="e">
        <f>TRIM(INDEX(#REF!,MATCH(Composições!A4715,#REF!,0),1))</f>
        <v>#REF!</v>
      </c>
      <c r="E4715" s="27"/>
      <c r="F4715" s="42" t="s">
        <v>560</v>
      </c>
      <c r="G4715" s="28" t="str">
        <f>IF(ISNUMBER(F4715),E4715*F4715,"")</f>
        <v/>
      </c>
      <c r="H4715" s="29"/>
      <c r="I4715" s="30"/>
      <c r="J4715" s="155">
        <v>0</v>
      </c>
    </row>
    <row r="4716" spans="1:10" ht="15" hidden="1" thickBot="1" x14ac:dyDescent="0.35">
      <c r="A4716" s="229"/>
      <c r="B4716" s="224"/>
      <c r="C4716" s="32"/>
      <c r="D4716" s="32"/>
      <c r="E4716" s="33"/>
      <c r="F4716" s="43" t="s">
        <v>560</v>
      </c>
      <c r="G4716" s="34" t="str">
        <f>IF(ISNUMBER(F4716),E4716*F4716,"")</f>
        <v/>
      </c>
      <c r="H4716" s="35"/>
      <c r="I4716" s="31"/>
      <c r="J4716" s="155">
        <v>0</v>
      </c>
    </row>
    <row r="4717" spans="1:10" ht="15" hidden="1" thickBot="1" x14ac:dyDescent="0.35">
      <c r="A4717" s="229"/>
      <c r="B4717" s="224"/>
      <c r="C4717" s="36" t="s">
        <v>68</v>
      </c>
      <c r="D4717" s="36" t="s">
        <v>12</v>
      </c>
      <c r="E4717" s="37">
        <v>0.2</v>
      </c>
      <c r="F4717" s="34">
        <v>18.861499999999999</v>
      </c>
      <c r="G4717" s="34">
        <f>IF(ISNUMBER(F4717),E4717*F4717,"")</f>
        <v>3.7723</v>
      </c>
      <c r="H4717" s="39">
        <f>SUM(G4717:G4718)</f>
        <v>7.8547139999999995</v>
      </c>
      <c r="I4717" s="40"/>
      <c r="J4717" s="155">
        <v>0</v>
      </c>
    </row>
    <row r="4718" spans="1:10" ht="15" hidden="1" thickBot="1" x14ac:dyDescent="0.35">
      <c r="A4718" s="229"/>
      <c r="B4718" s="224"/>
      <c r="C4718" s="36" t="s">
        <v>876</v>
      </c>
      <c r="D4718" s="36" t="s">
        <v>42</v>
      </c>
      <c r="E4718" s="37">
        <v>0.11899999999999999</v>
      </c>
      <c r="F4718" s="31">
        <v>34.305999999999997</v>
      </c>
      <c r="G4718" s="34">
        <f>IF(ISNUMBER(F4718),E4718*F4718,"")</f>
        <v>4.0824139999999991</v>
      </c>
      <c r="H4718" s="35"/>
      <c r="I4718" s="31"/>
      <c r="J4718" s="155">
        <v>0</v>
      </c>
    </row>
    <row r="4719" spans="1:10" ht="15" hidden="1" thickBot="1" x14ac:dyDescent="0.35">
      <c r="A4719" s="229"/>
      <c r="B4719" s="224"/>
      <c r="C4719" s="36"/>
      <c r="D4719" s="36"/>
      <c r="E4719" s="37"/>
      <c r="F4719" s="31" t="s">
        <v>560</v>
      </c>
      <c r="G4719" s="34"/>
      <c r="H4719" s="35"/>
      <c r="I4719" s="31"/>
      <c r="J4719" s="155">
        <v>0</v>
      </c>
    </row>
    <row r="4720" spans="1:10" ht="15" hidden="1" thickBot="1" x14ac:dyDescent="0.35">
      <c r="A4720" s="229"/>
      <c r="B4720" s="224"/>
      <c r="C4720" s="52" t="s">
        <v>1958</v>
      </c>
      <c r="D4720" s="36"/>
      <c r="E4720" s="37"/>
      <c r="F4720" s="31" t="s">
        <v>560</v>
      </c>
      <c r="G4720" s="34"/>
      <c r="H4720" s="35"/>
      <c r="I4720" s="31"/>
      <c r="J4720" s="155">
        <v>0</v>
      </c>
    </row>
    <row r="4721" spans="1:10" ht="15" hidden="1" thickBot="1" x14ac:dyDescent="0.35">
      <c r="A4721" s="229"/>
      <c r="B4721" s="224"/>
      <c r="C4721" s="52" t="s">
        <v>1950</v>
      </c>
      <c r="D4721" s="36"/>
      <c r="E4721" s="37"/>
      <c r="F4721" s="31" t="s">
        <v>560</v>
      </c>
      <c r="G4721" s="34"/>
      <c r="H4721" s="35"/>
      <c r="I4721" s="31"/>
      <c r="J4721" s="155">
        <v>0</v>
      </c>
    </row>
    <row r="4722" spans="1:10" ht="15" hidden="1" thickBot="1" x14ac:dyDescent="0.35">
      <c r="A4722" s="230"/>
      <c r="B4722" s="225"/>
      <c r="C4722" s="36"/>
      <c r="D4722" s="36"/>
      <c r="E4722" s="37"/>
      <c r="F4722" s="31" t="s">
        <v>560</v>
      </c>
      <c r="G4722" s="34" t="str">
        <f t="shared" ref="G4722:G4785" si="81">IF(ISNUMBER(F4722),E4722*F4722,"")</f>
        <v/>
      </c>
      <c r="H4722" s="35"/>
      <c r="I4722" s="31"/>
      <c r="J4722" s="155">
        <v>0</v>
      </c>
    </row>
    <row r="4723" spans="1:10" ht="15" hidden="1" thickBot="1" x14ac:dyDescent="0.35">
      <c r="A4723" s="226" t="s">
        <v>1879</v>
      </c>
      <c r="B4723" s="223" t="e">
        <f>INDEX(#REF!,MATCH(Composições!A4723,#REF!,0),2)</f>
        <v>#REF!</v>
      </c>
      <c r="C4723" s="41"/>
      <c r="D4723" s="26" t="e">
        <f>TRIM(INDEX(#REF!,MATCH(Composições!A4723,#REF!,0),1))</f>
        <v>#REF!</v>
      </c>
      <c r="E4723" s="27"/>
      <c r="F4723" s="42" t="s">
        <v>560</v>
      </c>
      <c r="G4723" s="28" t="str">
        <f t="shared" si="81"/>
        <v/>
      </c>
      <c r="H4723" s="29"/>
      <c r="I4723" s="30"/>
      <c r="J4723" s="155">
        <v>0</v>
      </c>
    </row>
    <row r="4724" spans="1:10" ht="15" hidden="1" thickBot="1" x14ac:dyDescent="0.35">
      <c r="A4724" s="229"/>
      <c r="B4724" s="224"/>
      <c r="C4724" s="32"/>
      <c r="D4724" s="32"/>
      <c r="E4724" s="33"/>
      <c r="F4724" s="43" t="s">
        <v>560</v>
      </c>
      <c r="G4724" s="31" t="str">
        <f t="shared" si="81"/>
        <v/>
      </c>
      <c r="H4724" s="35"/>
      <c r="I4724" s="31"/>
      <c r="J4724" s="155">
        <v>0</v>
      </c>
    </row>
    <row r="4725" spans="1:10" ht="27" hidden="1" thickBot="1" x14ac:dyDescent="0.35">
      <c r="A4725" s="229"/>
      <c r="B4725" s="224"/>
      <c r="C4725" s="36" t="s">
        <v>1963</v>
      </c>
      <c r="D4725" s="47" t="s">
        <v>292</v>
      </c>
      <c r="E4725" s="37">
        <v>1</v>
      </c>
      <c r="F4725" s="34" t="s">
        <v>560</v>
      </c>
      <c r="G4725" s="34" t="str">
        <f t="shared" si="81"/>
        <v/>
      </c>
      <c r="H4725" s="39">
        <f>SUM(G4725:G4731)</f>
        <v>46.994415799999992</v>
      </c>
      <c r="I4725" s="40"/>
      <c r="J4725" s="155">
        <v>0</v>
      </c>
    </row>
    <row r="4726" spans="1:10" ht="27" hidden="1" thickBot="1" x14ac:dyDescent="0.35">
      <c r="A4726" s="229"/>
      <c r="B4726" s="224"/>
      <c r="C4726" s="36" t="s">
        <v>320</v>
      </c>
      <c r="D4726" s="36" t="s">
        <v>20</v>
      </c>
      <c r="E4726" s="37">
        <v>1</v>
      </c>
      <c r="F4726" s="34" t="s">
        <v>560</v>
      </c>
      <c r="G4726" s="34" t="str">
        <f t="shared" si="81"/>
        <v/>
      </c>
      <c r="H4726" s="35"/>
      <c r="I4726" s="31"/>
      <c r="J4726" s="155">
        <v>0</v>
      </c>
    </row>
    <row r="4727" spans="1:10" ht="27" hidden="1" thickBot="1" x14ac:dyDescent="0.35">
      <c r="A4727" s="229"/>
      <c r="B4727" s="224"/>
      <c r="C4727" s="36" t="s">
        <v>355</v>
      </c>
      <c r="D4727" s="47" t="s">
        <v>292</v>
      </c>
      <c r="E4727" s="37">
        <v>2</v>
      </c>
      <c r="F4727" s="34">
        <v>12.622499999999999</v>
      </c>
      <c r="G4727" s="34">
        <f t="shared" si="81"/>
        <v>25.244999999999997</v>
      </c>
      <c r="H4727" s="35"/>
      <c r="I4727" s="31"/>
      <c r="J4727" s="155">
        <v>0</v>
      </c>
    </row>
    <row r="4728" spans="1:10" ht="15" hidden="1" thickBot="1" x14ac:dyDescent="0.35">
      <c r="A4728" s="229"/>
      <c r="B4728" s="224"/>
      <c r="C4728" s="36" t="s">
        <v>319</v>
      </c>
      <c r="D4728" s="47" t="s">
        <v>20</v>
      </c>
      <c r="E4728" s="37">
        <v>1</v>
      </c>
      <c r="F4728" s="34">
        <v>2.4649999999999999</v>
      </c>
      <c r="G4728" s="54">
        <f t="shared" si="81"/>
        <v>2.4649999999999999</v>
      </c>
      <c r="H4728" s="35"/>
      <c r="I4728" s="31"/>
      <c r="J4728" s="155">
        <v>0</v>
      </c>
    </row>
    <row r="4729" spans="1:10" ht="15" hidden="1" thickBot="1" x14ac:dyDescent="0.35">
      <c r="A4729" s="229"/>
      <c r="B4729" s="224"/>
      <c r="C4729" s="36" t="s">
        <v>1935</v>
      </c>
      <c r="D4729" s="47" t="s">
        <v>42</v>
      </c>
      <c r="E4729" s="37">
        <v>8.8099999999999998E-2</v>
      </c>
      <c r="F4729" s="34">
        <v>47.302499999999995</v>
      </c>
      <c r="G4729" s="34">
        <f t="shared" si="81"/>
        <v>4.1673502499999993</v>
      </c>
      <c r="H4729" s="35"/>
      <c r="I4729" s="31"/>
      <c r="J4729" s="155">
        <v>0</v>
      </c>
    </row>
    <row r="4730" spans="1:10" ht="15" hidden="1" thickBot="1" x14ac:dyDescent="0.35">
      <c r="A4730" s="229"/>
      <c r="B4730" s="224"/>
      <c r="C4730" s="36" t="s">
        <v>39</v>
      </c>
      <c r="D4730" s="47" t="s">
        <v>12</v>
      </c>
      <c r="E4730" s="37">
        <v>0.49680000000000002</v>
      </c>
      <c r="F4730" s="31">
        <v>19.898499999999999</v>
      </c>
      <c r="G4730" s="34">
        <f t="shared" si="81"/>
        <v>9.8855747999999988</v>
      </c>
      <c r="H4730" s="35"/>
      <c r="I4730" s="31"/>
      <c r="J4730" s="155">
        <v>0</v>
      </c>
    </row>
    <row r="4731" spans="1:10" ht="15" hidden="1" thickBot="1" x14ac:dyDescent="0.35">
      <c r="A4731" s="229"/>
      <c r="B4731" s="224"/>
      <c r="C4731" s="36" t="s">
        <v>23</v>
      </c>
      <c r="D4731" s="47" t="s">
        <v>12</v>
      </c>
      <c r="E4731" s="37">
        <v>0.34949999999999998</v>
      </c>
      <c r="F4731" s="31">
        <v>14.968499999999999</v>
      </c>
      <c r="G4731" s="34">
        <f t="shared" si="81"/>
        <v>5.231490749999999</v>
      </c>
      <c r="H4731" s="35"/>
      <c r="I4731" s="31"/>
      <c r="J4731" s="155">
        <v>0</v>
      </c>
    </row>
    <row r="4732" spans="1:10" ht="15" hidden="1" thickBot="1" x14ac:dyDescent="0.35">
      <c r="A4732" s="230"/>
      <c r="B4732" s="225"/>
      <c r="C4732" s="36"/>
      <c r="D4732" s="36"/>
      <c r="E4732" s="37"/>
      <c r="F4732" s="31" t="s">
        <v>560</v>
      </c>
      <c r="G4732" s="31" t="str">
        <f t="shared" si="81"/>
        <v/>
      </c>
      <c r="H4732" s="35"/>
      <c r="I4732" s="31"/>
      <c r="J4732" s="155">
        <v>0</v>
      </c>
    </row>
    <row r="4733" spans="1:10" ht="15" hidden="1" thickBot="1" x14ac:dyDescent="0.35">
      <c r="A4733" s="226" t="s">
        <v>1880</v>
      </c>
      <c r="B4733" s="223" t="e">
        <f>INDEX(#REF!,MATCH(Composições!A4733,#REF!,0),2)</f>
        <v>#REF!</v>
      </c>
      <c r="C4733" s="41"/>
      <c r="D4733" s="26" t="e">
        <f>TRIM(INDEX(#REF!,MATCH(Composições!A4733,#REF!,0),1))</f>
        <v>#REF!</v>
      </c>
      <c r="E4733" s="27"/>
      <c r="F4733" s="42" t="s">
        <v>560</v>
      </c>
      <c r="G4733" s="28" t="str">
        <f t="shared" si="81"/>
        <v/>
      </c>
      <c r="H4733" s="29"/>
      <c r="I4733" s="30"/>
      <c r="J4733" s="155">
        <v>0</v>
      </c>
    </row>
    <row r="4734" spans="1:10" ht="15" hidden="1" thickBot="1" x14ac:dyDescent="0.35">
      <c r="A4734" s="229"/>
      <c r="B4734" s="224"/>
      <c r="C4734" s="32"/>
      <c r="D4734" s="32"/>
      <c r="E4734" s="33"/>
      <c r="F4734" s="43" t="s">
        <v>560</v>
      </c>
      <c r="G4734" s="31" t="str">
        <f t="shared" si="81"/>
        <v/>
      </c>
      <c r="H4734" s="35"/>
      <c r="I4734" s="31"/>
      <c r="J4734" s="155">
        <v>0</v>
      </c>
    </row>
    <row r="4735" spans="1:10" ht="15" hidden="1" thickBot="1" x14ac:dyDescent="0.35">
      <c r="A4735" s="229"/>
      <c r="B4735" s="224"/>
      <c r="C4735" s="36" t="s">
        <v>1961</v>
      </c>
      <c r="D4735" s="47" t="s">
        <v>292</v>
      </c>
      <c r="E4735" s="37">
        <v>1</v>
      </c>
      <c r="F4735" s="34" t="s">
        <v>560</v>
      </c>
      <c r="G4735" s="34" t="str">
        <f t="shared" si="81"/>
        <v/>
      </c>
      <c r="H4735" s="39">
        <f>SUM(G4735:G4739)</f>
        <v>44.529415799999995</v>
      </c>
      <c r="I4735" s="40"/>
      <c r="J4735" s="155">
        <v>0</v>
      </c>
    </row>
    <row r="4736" spans="1:10" ht="27" hidden="1" thickBot="1" x14ac:dyDescent="0.35">
      <c r="A4736" s="229"/>
      <c r="B4736" s="224"/>
      <c r="C4736" s="36" t="s">
        <v>355</v>
      </c>
      <c r="D4736" s="47" t="s">
        <v>292</v>
      </c>
      <c r="E4736" s="37">
        <v>2</v>
      </c>
      <c r="F4736" s="34">
        <v>12.622499999999999</v>
      </c>
      <c r="G4736" s="34">
        <f t="shared" si="81"/>
        <v>25.244999999999997</v>
      </c>
      <c r="H4736" s="35"/>
      <c r="I4736" s="31"/>
      <c r="J4736" s="155">
        <v>0</v>
      </c>
    </row>
    <row r="4737" spans="1:10" ht="15" hidden="1" thickBot="1" x14ac:dyDescent="0.35">
      <c r="A4737" s="229"/>
      <c r="B4737" s="224"/>
      <c r="C4737" s="36" t="s">
        <v>1935</v>
      </c>
      <c r="D4737" s="47" t="s">
        <v>42</v>
      </c>
      <c r="E4737" s="37">
        <v>8.8099999999999998E-2</v>
      </c>
      <c r="F4737" s="34">
        <v>47.302499999999995</v>
      </c>
      <c r="G4737" s="34">
        <f t="shared" si="81"/>
        <v>4.1673502499999993</v>
      </c>
      <c r="H4737" s="35"/>
      <c r="I4737" s="31"/>
      <c r="J4737" s="155">
        <v>0</v>
      </c>
    </row>
    <row r="4738" spans="1:10" ht="15" hidden="1" thickBot="1" x14ac:dyDescent="0.35">
      <c r="A4738" s="229"/>
      <c r="B4738" s="224"/>
      <c r="C4738" s="36" t="s">
        <v>39</v>
      </c>
      <c r="D4738" s="47" t="s">
        <v>12</v>
      </c>
      <c r="E4738" s="37">
        <v>0.49680000000000002</v>
      </c>
      <c r="F4738" s="31">
        <v>19.898499999999999</v>
      </c>
      <c r="G4738" s="34">
        <f t="shared" si="81"/>
        <v>9.8855747999999988</v>
      </c>
      <c r="H4738" s="35"/>
      <c r="I4738" s="31"/>
      <c r="J4738" s="155">
        <v>0</v>
      </c>
    </row>
    <row r="4739" spans="1:10" ht="15" hidden="1" thickBot="1" x14ac:dyDescent="0.35">
      <c r="A4739" s="229"/>
      <c r="B4739" s="224"/>
      <c r="C4739" s="36" t="s">
        <v>23</v>
      </c>
      <c r="D4739" s="47" t="s">
        <v>12</v>
      </c>
      <c r="E4739" s="37">
        <v>0.34949999999999998</v>
      </c>
      <c r="F4739" s="31">
        <v>14.968499999999999</v>
      </c>
      <c r="G4739" s="34">
        <f t="shared" si="81"/>
        <v>5.231490749999999</v>
      </c>
      <c r="H4739" s="35"/>
      <c r="I4739" s="31"/>
      <c r="J4739" s="155">
        <v>0</v>
      </c>
    </row>
    <row r="4740" spans="1:10" ht="15" hidden="1" thickBot="1" x14ac:dyDescent="0.35">
      <c r="A4740" s="230"/>
      <c r="B4740" s="225"/>
      <c r="C4740" s="36"/>
      <c r="D4740" s="36"/>
      <c r="E4740" s="37"/>
      <c r="F4740" s="31" t="s">
        <v>560</v>
      </c>
      <c r="G4740" s="31" t="str">
        <f t="shared" si="81"/>
        <v/>
      </c>
      <c r="H4740" s="35"/>
      <c r="I4740" s="31"/>
      <c r="J4740" s="155">
        <v>0</v>
      </c>
    </row>
    <row r="4741" spans="1:10" ht="15" hidden="1" thickBot="1" x14ac:dyDescent="0.35">
      <c r="A4741" s="226" t="s">
        <v>1881</v>
      </c>
      <c r="B4741" s="223" t="e">
        <f>INDEX(#REF!,MATCH(Composições!A4741,#REF!,0),2)</f>
        <v>#REF!</v>
      </c>
      <c r="C4741" s="41"/>
      <c r="D4741" s="26" t="e">
        <f>TRIM(INDEX(#REF!,MATCH(Composições!A4741,#REF!,0),1))</f>
        <v>#REF!</v>
      </c>
      <c r="E4741" s="27"/>
      <c r="F4741" s="49" t="s">
        <v>560</v>
      </c>
      <c r="G4741" s="28" t="str">
        <f t="shared" si="81"/>
        <v/>
      </c>
      <c r="H4741" s="29"/>
      <c r="I4741" s="30"/>
      <c r="J4741" s="155">
        <v>0</v>
      </c>
    </row>
    <row r="4742" spans="1:10" ht="15" hidden="1" thickBot="1" x14ac:dyDescent="0.35">
      <c r="A4742" s="227"/>
      <c r="B4742" s="224"/>
      <c r="C4742" s="32"/>
      <c r="D4742" s="32"/>
      <c r="E4742" s="33"/>
      <c r="F4742" s="54" t="s">
        <v>560</v>
      </c>
      <c r="G4742" s="54" t="str">
        <f t="shared" si="81"/>
        <v/>
      </c>
      <c r="H4742" s="73"/>
      <c r="I4742" s="74"/>
      <c r="J4742" s="155">
        <v>0</v>
      </c>
    </row>
    <row r="4743" spans="1:10" ht="27" hidden="1" thickBot="1" x14ac:dyDescent="0.35">
      <c r="A4743" s="227"/>
      <c r="B4743" s="224"/>
      <c r="C4743" s="36" t="s">
        <v>1962</v>
      </c>
      <c r="D4743" s="36" t="s">
        <v>292</v>
      </c>
      <c r="E4743" s="37">
        <v>1</v>
      </c>
      <c r="F4743" s="54" t="s">
        <v>560</v>
      </c>
      <c r="G4743" s="54" t="str">
        <f t="shared" si="81"/>
        <v/>
      </c>
      <c r="H4743" s="39">
        <f>SUM(G4743:G4746)</f>
        <v>11.0600589</v>
      </c>
      <c r="I4743" s="40"/>
      <c r="J4743" s="155">
        <v>0</v>
      </c>
    </row>
    <row r="4744" spans="1:10" ht="15" hidden="1" thickBot="1" x14ac:dyDescent="0.35">
      <c r="A4744" s="227"/>
      <c r="B4744" s="224"/>
      <c r="C4744" s="36" t="s">
        <v>1111</v>
      </c>
      <c r="D4744" s="36" t="s">
        <v>292</v>
      </c>
      <c r="E4744" s="37">
        <v>2.1000000000000001E-2</v>
      </c>
      <c r="F4744" s="54">
        <v>3.1110000000000002</v>
      </c>
      <c r="G4744" s="54">
        <f t="shared" si="81"/>
        <v>6.5331000000000014E-2</v>
      </c>
      <c r="H4744" s="73"/>
      <c r="I4744" s="74"/>
      <c r="J4744" s="155">
        <v>0</v>
      </c>
    </row>
    <row r="4745" spans="1:10" ht="27" hidden="1" thickBot="1" x14ac:dyDescent="0.35">
      <c r="A4745" s="227"/>
      <c r="B4745" s="224"/>
      <c r="C4745" s="36" t="s">
        <v>995</v>
      </c>
      <c r="D4745" s="36" t="s">
        <v>744</v>
      </c>
      <c r="E4745" s="37">
        <v>0.44669999999999999</v>
      </c>
      <c r="F4745" s="54">
        <v>19.898499999999999</v>
      </c>
      <c r="G4745" s="54">
        <f t="shared" si="81"/>
        <v>8.8886599499999992</v>
      </c>
      <c r="H4745" s="73"/>
      <c r="I4745" s="74"/>
      <c r="J4745" s="155">
        <v>0</v>
      </c>
    </row>
    <row r="4746" spans="1:10" ht="15" hidden="1" thickBot="1" x14ac:dyDescent="0.35">
      <c r="A4746" s="227"/>
      <c r="B4746" s="224"/>
      <c r="C4746" s="36" t="s">
        <v>745</v>
      </c>
      <c r="D4746" s="36" t="s">
        <v>744</v>
      </c>
      <c r="E4746" s="37">
        <v>0.14069999999999999</v>
      </c>
      <c r="F4746" s="54">
        <v>14.968499999999999</v>
      </c>
      <c r="G4746" s="54">
        <f t="shared" si="81"/>
        <v>2.1060679499999999</v>
      </c>
      <c r="H4746" s="73"/>
      <c r="I4746" s="74"/>
      <c r="J4746" s="155">
        <v>0</v>
      </c>
    </row>
    <row r="4747" spans="1:10" ht="15" hidden="1" thickBot="1" x14ac:dyDescent="0.35">
      <c r="A4747" s="228"/>
      <c r="B4747" s="225"/>
      <c r="C4747" s="36"/>
      <c r="D4747" s="36"/>
      <c r="E4747" s="37"/>
      <c r="F4747" s="54" t="s">
        <v>560</v>
      </c>
      <c r="G4747" s="54" t="str">
        <f t="shared" si="81"/>
        <v/>
      </c>
      <c r="H4747" s="73"/>
      <c r="I4747" s="74"/>
      <c r="J4747" s="155">
        <v>0</v>
      </c>
    </row>
    <row r="4748" spans="1:10" ht="15" hidden="1" thickBot="1" x14ac:dyDescent="0.35">
      <c r="A4748" s="226" t="s">
        <v>1882</v>
      </c>
      <c r="B4748" s="223" t="e">
        <f>INDEX(#REF!,MATCH(Composições!A4748,#REF!,0),2)</f>
        <v>#REF!</v>
      </c>
      <c r="C4748" s="41"/>
      <c r="D4748" s="26" t="e">
        <f>TRIM(INDEX(#REF!,MATCH(Composições!A4748,#REF!,0),1))</f>
        <v>#REF!</v>
      </c>
      <c r="E4748" s="27"/>
      <c r="F4748" s="49" t="s">
        <v>560</v>
      </c>
      <c r="G4748" s="28" t="str">
        <f t="shared" si="81"/>
        <v/>
      </c>
      <c r="H4748" s="29"/>
      <c r="I4748" s="30"/>
      <c r="J4748" s="155">
        <v>0</v>
      </c>
    </row>
    <row r="4749" spans="1:10" ht="15" hidden="1" thickBot="1" x14ac:dyDescent="0.35">
      <c r="A4749" s="227"/>
      <c r="B4749" s="224"/>
      <c r="C4749" s="32"/>
      <c r="D4749" s="32"/>
      <c r="E4749" s="33"/>
      <c r="F4749" s="54" t="s">
        <v>560</v>
      </c>
      <c r="G4749" s="54" t="str">
        <f t="shared" si="81"/>
        <v/>
      </c>
      <c r="H4749" s="73"/>
      <c r="I4749" s="74"/>
      <c r="J4749" s="155">
        <v>0</v>
      </c>
    </row>
    <row r="4750" spans="1:10" ht="15" hidden="1" thickBot="1" x14ac:dyDescent="0.35">
      <c r="A4750" s="227"/>
      <c r="B4750" s="224"/>
      <c r="C4750" s="36" t="s">
        <v>1111</v>
      </c>
      <c r="D4750" s="36" t="s">
        <v>292</v>
      </c>
      <c r="E4750" s="37">
        <v>4.2000000000000003E-2</v>
      </c>
      <c r="F4750" s="54">
        <v>3.1110000000000002</v>
      </c>
      <c r="G4750" s="54">
        <f t="shared" si="81"/>
        <v>0.13066200000000003</v>
      </c>
      <c r="H4750" s="39">
        <f>SUM(G4750:G4753)</f>
        <v>11.535038049999997</v>
      </c>
      <c r="I4750" s="40"/>
      <c r="J4750" s="155">
        <v>0</v>
      </c>
    </row>
    <row r="4751" spans="1:10" ht="15" hidden="1" thickBot="1" x14ac:dyDescent="0.35">
      <c r="A4751" s="227"/>
      <c r="B4751" s="224"/>
      <c r="C4751" s="36" t="s">
        <v>1960</v>
      </c>
      <c r="D4751" s="36" t="s">
        <v>292</v>
      </c>
      <c r="E4751" s="37">
        <v>1</v>
      </c>
      <c r="F4751" s="54" t="s">
        <v>560</v>
      </c>
      <c r="G4751" s="54" t="str">
        <f t="shared" si="81"/>
        <v/>
      </c>
      <c r="H4751" s="73"/>
      <c r="I4751" s="74"/>
      <c r="J4751" s="155">
        <v>0</v>
      </c>
    </row>
    <row r="4752" spans="1:10" ht="27" hidden="1" thickBot="1" x14ac:dyDescent="0.35">
      <c r="A4752" s="227"/>
      <c r="B4752" s="224"/>
      <c r="C4752" s="36" t="s">
        <v>995</v>
      </c>
      <c r="D4752" s="36" t="s">
        <v>744</v>
      </c>
      <c r="E4752" s="37">
        <v>0.46329999999999999</v>
      </c>
      <c r="F4752" s="54">
        <v>19.898499999999999</v>
      </c>
      <c r="G4752" s="54">
        <f t="shared" si="81"/>
        <v>9.2189750499999992</v>
      </c>
      <c r="H4752" s="73"/>
      <c r="I4752" s="74"/>
      <c r="J4752" s="155">
        <v>0</v>
      </c>
    </row>
    <row r="4753" spans="1:10" ht="15" hidden="1" thickBot="1" x14ac:dyDescent="0.35">
      <c r="A4753" s="227"/>
      <c r="B4753" s="224"/>
      <c r="C4753" s="36" t="s">
        <v>745</v>
      </c>
      <c r="D4753" s="36" t="s">
        <v>744</v>
      </c>
      <c r="E4753" s="37">
        <v>0.14599999999999999</v>
      </c>
      <c r="F4753" s="54">
        <v>14.968499999999999</v>
      </c>
      <c r="G4753" s="54">
        <f t="shared" si="81"/>
        <v>2.1854009999999997</v>
      </c>
      <c r="H4753" s="73"/>
      <c r="I4753" s="74"/>
      <c r="J4753" s="155">
        <v>0</v>
      </c>
    </row>
    <row r="4754" spans="1:10" ht="15" hidden="1" thickBot="1" x14ac:dyDescent="0.35">
      <c r="A4754" s="228"/>
      <c r="B4754" s="225"/>
      <c r="C4754" s="36"/>
      <c r="D4754" s="36"/>
      <c r="E4754" s="37"/>
      <c r="F4754" s="54" t="s">
        <v>560</v>
      </c>
      <c r="G4754" s="54" t="str">
        <f t="shared" si="81"/>
        <v/>
      </c>
      <c r="H4754" s="73"/>
      <c r="I4754" s="74"/>
      <c r="J4754" s="155">
        <v>0</v>
      </c>
    </row>
    <row r="4755" spans="1:10" ht="15" hidden="1" thickBot="1" x14ac:dyDescent="0.35">
      <c r="A4755" s="226" t="s">
        <v>1883</v>
      </c>
      <c r="B4755" s="223" t="e">
        <f>INDEX(#REF!,MATCH(Composições!A4755,#REF!,0),2)</f>
        <v>#REF!</v>
      </c>
      <c r="C4755" s="41"/>
      <c r="D4755" s="26" t="e">
        <f>TRIM(INDEX(#REF!,MATCH(Composições!A4755,#REF!,0),1))</f>
        <v>#REF!</v>
      </c>
      <c r="E4755" s="27"/>
      <c r="F4755" s="49" t="s">
        <v>560</v>
      </c>
      <c r="G4755" s="28" t="str">
        <f t="shared" si="81"/>
        <v/>
      </c>
      <c r="H4755" s="29"/>
      <c r="I4755" s="30"/>
      <c r="J4755" s="155">
        <v>0</v>
      </c>
    </row>
    <row r="4756" spans="1:10" ht="15" hidden="1" thickBot="1" x14ac:dyDescent="0.35">
      <c r="A4756" s="227"/>
      <c r="B4756" s="224"/>
      <c r="C4756" s="32"/>
      <c r="D4756" s="32"/>
      <c r="E4756" s="33"/>
      <c r="F4756" s="54" t="s">
        <v>560</v>
      </c>
      <c r="G4756" s="54" t="str">
        <f t="shared" si="81"/>
        <v/>
      </c>
      <c r="H4756" s="73"/>
      <c r="I4756" s="74"/>
      <c r="J4756" s="155">
        <v>0</v>
      </c>
    </row>
    <row r="4757" spans="1:10" ht="15" hidden="1" thickBot="1" x14ac:dyDescent="0.35">
      <c r="A4757" s="227"/>
      <c r="B4757" s="224"/>
      <c r="C4757" s="36" t="s">
        <v>1111</v>
      </c>
      <c r="D4757" s="36" t="s">
        <v>292</v>
      </c>
      <c r="E4757" s="37">
        <v>4.2000000000000003E-2</v>
      </c>
      <c r="F4757" s="54">
        <v>3.1110000000000002</v>
      </c>
      <c r="G4757" s="54">
        <f t="shared" si="81"/>
        <v>0.13066200000000003</v>
      </c>
      <c r="H4757" s="39">
        <f>SUM(G4757:G4760)</f>
        <v>5.7084130000000002</v>
      </c>
      <c r="I4757" s="40"/>
      <c r="J4757" s="155">
        <v>0</v>
      </c>
    </row>
    <row r="4758" spans="1:10" ht="27" hidden="1" thickBot="1" x14ac:dyDescent="0.35">
      <c r="A4758" s="227"/>
      <c r="B4758" s="224"/>
      <c r="C4758" s="36" t="s">
        <v>1959</v>
      </c>
      <c r="D4758" s="36" t="s">
        <v>292</v>
      </c>
      <c r="E4758" s="37">
        <v>1</v>
      </c>
      <c r="F4758" s="54" t="s">
        <v>560</v>
      </c>
      <c r="G4758" s="54" t="str">
        <f t="shared" si="81"/>
        <v/>
      </c>
      <c r="H4758" s="73"/>
      <c r="I4758" s="74"/>
      <c r="J4758" s="155">
        <v>0</v>
      </c>
    </row>
    <row r="4759" spans="1:10" ht="27" hidden="1" thickBot="1" x14ac:dyDescent="0.35">
      <c r="A4759" s="227"/>
      <c r="B4759" s="224"/>
      <c r="C4759" s="36" t="s">
        <v>995</v>
      </c>
      <c r="D4759" s="36" t="s">
        <v>744</v>
      </c>
      <c r="E4759" s="37">
        <v>0.2266</v>
      </c>
      <c r="F4759" s="54">
        <v>19.898499999999999</v>
      </c>
      <c r="G4759" s="54">
        <f t="shared" si="81"/>
        <v>4.5090000999999997</v>
      </c>
      <c r="H4759" s="73"/>
      <c r="I4759" s="74"/>
      <c r="J4759" s="155">
        <v>0</v>
      </c>
    </row>
    <row r="4760" spans="1:10" ht="15" hidden="1" thickBot="1" x14ac:dyDescent="0.35">
      <c r="A4760" s="227"/>
      <c r="B4760" s="224"/>
      <c r="C4760" s="36" t="s">
        <v>745</v>
      </c>
      <c r="D4760" s="36" t="s">
        <v>744</v>
      </c>
      <c r="E4760" s="37">
        <v>7.1400000000000005E-2</v>
      </c>
      <c r="F4760" s="54">
        <v>14.968499999999999</v>
      </c>
      <c r="G4760" s="54">
        <f t="shared" si="81"/>
        <v>1.0687508999999999</v>
      </c>
      <c r="H4760" s="73"/>
      <c r="I4760" s="74"/>
      <c r="J4760" s="155">
        <v>0</v>
      </c>
    </row>
    <row r="4761" spans="1:10" ht="15" hidden="1" thickBot="1" x14ac:dyDescent="0.35">
      <c r="A4761" s="228"/>
      <c r="B4761" s="225"/>
      <c r="C4761" s="36"/>
      <c r="D4761" s="36"/>
      <c r="E4761" s="37"/>
      <c r="F4761" s="54" t="s">
        <v>560</v>
      </c>
      <c r="G4761" s="54" t="str">
        <f t="shared" si="81"/>
        <v/>
      </c>
      <c r="H4761" s="73"/>
      <c r="I4761" s="74"/>
      <c r="J4761" s="155">
        <v>0</v>
      </c>
    </row>
    <row r="4762" spans="1:10" ht="15" hidden="1" thickBot="1" x14ac:dyDescent="0.35">
      <c r="A4762" s="226" t="s">
        <v>1884</v>
      </c>
      <c r="B4762" s="223" t="e">
        <f>INDEX(#REF!,MATCH(Composições!A4762,#REF!,0),2)</f>
        <v>#REF!</v>
      </c>
      <c r="C4762" s="41"/>
      <c r="D4762" s="26" t="e">
        <f>TRIM(INDEX(#REF!,MATCH(Composições!A4762,#REF!,0),1))</f>
        <v>#REF!</v>
      </c>
      <c r="E4762" s="27"/>
      <c r="F4762" s="49" t="s">
        <v>560</v>
      </c>
      <c r="G4762" s="28" t="str">
        <f t="shared" si="81"/>
        <v/>
      </c>
      <c r="H4762" s="29"/>
      <c r="I4762" s="30"/>
      <c r="J4762" s="155">
        <v>0</v>
      </c>
    </row>
    <row r="4763" spans="1:10" ht="15" hidden="1" thickBot="1" x14ac:dyDescent="0.35">
      <c r="A4763" s="227"/>
      <c r="B4763" s="224"/>
      <c r="C4763" s="32"/>
      <c r="D4763" s="32"/>
      <c r="E4763" s="33"/>
      <c r="F4763" s="54" t="s">
        <v>560</v>
      </c>
      <c r="G4763" s="54" t="str">
        <f t="shared" si="81"/>
        <v/>
      </c>
      <c r="H4763" s="73"/>
      <c r="I4763" s="74"/>
      <c r="J4763" s="155">
        <v>0</v>
      </c>
    </row>
    <row r="4764" spans="1:10" ht="15" hidden="1" thickBot="1" x14ac:dyDescent="0.35">
      <c r="A4764" s="227"/>
      <c r="B4764" s="224"/>
      <c r="C4764" s="36" t="s">
        <v>1111</v>
      </c>
      <c r="D4764" s="36" t="s">
        <v>292</v>
      </c>
      <c r="E4764" s="37">
        <v>4.2000000000000003E-2</v>
      </c>
      <c r="F4764" s="54">
        <v>3.1110000000000002</v>
      </c>
      <c r="G4764" s="54">
        <f t="shared" si="81"/>
        <v>0.13066200000000003</v>
      </c>
      <c r="H4764" s="39">
        <f>SUM(G4764:G4767)</f>
        <v>11.535038049999997</v>
      </c>
      <c r="I4764" s="40"/>
      <c r="J4764" s="155">
        <v>0</v>
      </c>
    </row>
    <row r="4765" spans="1:10" ht="27" hidden="1" thickBot="1" x14ac:dyDescent="0.35">
      <c r="A4765" s="227"/>
      <c r="B4765" s="224"/>
      <c r="C4765" s="36" t="s">
        <v>1964</v>
      </c>
      <c r="D4765" s="36" t="s">
        <v>292</v>
      </c>
      <c r="E4765" s="37">
        <v>1</v>
      </c>
      <c r="F4765" s="54" t="s">
        <v>560</v>
      </c>
      <c r="G4765" s="54" t="str">
        <f t="shared" si="81"/>
        <v/>
      </c>
      <c r="H4765" s="73"/>
      <c r="I4765" s="74"/>
      <c r="J4765" s="155">
        <v>0</v>
      </c>
    </row>
    <row r="4766" spans="1:10" ht="27" hidden="1" thickBot="1" x14ac:dyDescent="0.35">
      <c r="A4766" s="227"/>
      <c r="B4766" s="224"/>
      <c r="C4766" s="36" t="s">
        <v>995</v>
      </c>
      <c r="D4766" s="36" t="s">
        <v>744</v>
      </c>
      <c r="E4766" s="37">
        <v>0.46329999999999999</v>
      </c>
      <c r="F4766" s="54">
        <v>19.898499999999999</v>
      </c>
      <c r="G4766" s="54">
        <f t="shared" si="81"/>
        <v>9.2189750499999992</v>
      </c>
      <c r="H4766" s="73"/>
      <c r="I4766" s="74"/>
      <c r="J4766" s="155">
        <v>0</v>
      </c>
    </row>
    <row r="4767" spans="1:10" ht="15" hidden="1" thickBot="1" x14ac:dyDescent="0.35">
      <c r="A4767" s="227"/>
      <c r="B4767" s="224"/>
      <c r="C4767" s="36" t="s">
        <v>745</v>
      </c>
      <c r="D4767" s="36" t="s">
        <v>744</v>
      </c>
      <c r="E4767" s="37">
        <v>0.14599999999999999</v>
      </c>
      <c r="F4767" s="54">
        <v>14.968499999999999</v>
      </c>
      <c r="G4767" s="54">
        <f t="shared" si="81"/>
        <v>2.1854009999999997</v>
      </c>
      <c r="H4767" s="73"/>
      <c r="I4767" s="74"/>
      <c r="J4767" s="155">
        <v>0</v>
      </c>
    </row>
    <row r="4768" spans="1:10" ht="15" hidden="1" thickBot="1" x14ac:dyDescent="0.35">
      <c r="A4768" s="228"/>
      <c r="B4768" s="225"/>
      <c r="C4768" s="36"/>
      <c r="D4768" s="36"/>
      <c r="E4768" s="37"/>
      <c r="F4768" s="54" t="s">
        <v>560</v>
      </c>
      <c r="G4768" s="54" t="str">
        <f t="shared" si="81"/>
        <v/>
      </c>
      <c r="H4768" s="73"/>
      <c r="I4768" s="74"/>
      <c r="J4768" s="155">
        <v>0</v>
      </c>
    </row>
    <row r="4769" spans="1:10" ht="15" hidden="1" thickBot="1" x14ac:dyDescent="0.35">
      <c r="A4769" s="226" t="s">
        <v>1885</v>
      </c>
      <c r="B4769" s="223" t="e">
        <f>INDEX(#REF!,MATCH(Composições!A4769,#REF!,0),2)</f>
        <v>#REF!</v>
      </c>
      <c r="C4769" s="41"/>
      <c r="D4769" s="26" t="e">
        <f>TRIM(INDEX(#REF!,MATCH(Composições!A4769,#REF!,0),1))</f>
        <v>#REF!</v>
      </c>
      <c r="E4769" s="27"/>
      <c r="F4769" s="49" t="s">
        <v>560</v>
      </c>
      <c r="G4769" s="28" t="str">
        <f t="shared" si="81"/>
        <v/>
      </c>
      <c r="H4769" s="29"/>
      <c r="I4769" s="30"/>
      <c r="J4769" s="155">
        <v>0</v>
      </c>
    </row>
    <row r="4770" spans="1:10" ht="15" hidden="1" thickBot="1" x14ac:dyDescent="0.35">
      <c r="A4770" s="227"/>
      <c r="B4770" s="224"/>
      <c r="C4770" s="32"/>
      <c r="D4770" s="32"/>
      <c r="E4770" s="33"/>
      <c r="F4770" s="54" t="s">
        <v>560</v>
      </c>
      <c r="G4770" s="54" t="str">
        <f t="shared" si="81"/>
        <v/>
      </c>
      <c r="H4770" s="73"/>
      <c r="I4770" s="74"/>
      <c r="J4770" s="155">
        <v>0</v>
      </c>
    </row>
    <row r="4771" spans="1:10" ht="15" hidden="1" thickBot="1" x14ac:dyDescent="0.35">
      <c r="A4771" s="227"/>
      <c r="B4771" s="224"/>
      <c r="C4771" s="36" t="s">
        <v>1111</v>
      </c>
      <c r="D4771" s="36" t="s">
        <v>292</v>
      </c>
      <c r="E4771" s="37">
        <v>4.2000000000000003E-2</v>
      </c>
      <c r="F4771" s="54">
        <v>3.1110000000000002</v>
      </c>
      <c r="G4771" s="54">
        <f t="shared" si="81"/>
        <v>0.13066200000000003</v>
      </c>
      <c r="H4771" s="39">
        <f>SUM(G4771:G4774)</f>
        <v>5.7084130000000002</v>
      </c>
      <c r="I4771" s="40"/>
      <c r="J4771" s="155">
        <v>0</v>
      </c>
    </row>
    <row r="4772" spans="1:10" ht="27" hidden="1" thickBot="1" x14ac:dyDescent="0.35">
      <c r="A4772" s="227"/>
      <c r="B4772" s="224"/>
      <c r="C4772" s="36" t="s">
        <v>1965</v>
      </c>
      <c r="D4772" s="36" t="s">
        <v>292</v>
      </c>
      <c r="E4772" s="37">
        <v>1</v>
      </c>
      <c r="F4772" s="54" t="s">
        <v>560</v>
      </c>
      <c r="G4772" s="54" t="str">
        <f t="shared" si="81"/>
        <v/>
      </c>
      <c r="H4772" s="73"/>
      <c r="I4772" s="74"/>
      <c r="J4772" s="155">
        <v>0</v>
      </c>
    </row>
    <row r="4773" spans="1:10" ht="27" hidden="1" thickBot="1" x14ac:dyDescent="0.35">
      <c r="A4773" s="227"/>
      <c r="B4773" s="224"/>
      <c r="C4773" s="36" t="s">
        <v>995</v>
      </c>
      <c r="D4773" s="36" t="s">
        <v>744</v>
      </c>
      <c r="E4773" s="37">
        <v>0.2266</v>
      </c>
      <c r="F4773" s="54">
        <v>19.898499999999999</v>
      </c>
      <c r="G4773" s="54">
        <f t="shared" si="81"/>
        <v>4.5090000999999997</v>
      </c>
      <c r="H4773" s="73"/>
      <c r="I4773" s="74"/>
      <c r="J4773" s="155">
        <v>0</v>
      </c>
    </row>
    <row r="4774" spans="1:10" ht="15" hidden="1" thickBot="1" x14ac:dyDescent="0.35">
      <c r="A4774" s="227"/>
      <c r="B4774" s="224"/>
      <c r="C4774" s="36" t="s">
        <v>745</v>
      </c>
      <c r="D4774" s="36" t="s">
        <v>744</v>
      </c>
      <c r="E4774" s="37">
        <v>7.1400000000000005E-2</v>
      </c>
      <c r="F4774" s="54">
        <v>14.968499999999999</v>
      </c>
      <c r="G4774" s="54">
        <f t="shared" si="81"/>
        <v>1.0687508999999999</v>
      </c>
      <c r="H4774" s="73"/>
      <c r="I4774" s="74"/>
      <c r="J4774" s="155">
        <v>0</v>
      </c>
    </row>
    <row r="4775" spans="1:10" ht="15" hidden="1" thickBot="1" x14ac:dyDescent="0.35">
      <c r="A4775" s="228"/>
      <c r="B4775" s="225"/>
      <c r="C4775" s="36"/>
      <c r="D4775" s="36"/>
      <c r="E4775" s="37"/>
      <c r="F4775" s="54" t="s">
        <v>560</v>
      </c>
      <c r="G4775" s="54" t="str">
        <f t="shared" si="81"/>
        <v/>
      </c>
      <c r="H4775" s="73"/>
      <c r="I4775" s="74"/>
      <c r="J4775" s="155">
        <v>0</v>
      </c>
    </row>
    <row r="4776" spans="1:10" ht="15" hidden="1" thickBot="1" x14ac:dyDescent="0.35">
      <c r="A4776" s="226" t="s">
        <v>1886</v>
      </c>
      <c r="B4776" s="223" t="e">
        <f>INDEX(#REF!,MATCH(Composições!A4776,#REF!,0),2)</f>
        <v>#REF!</v>
      </c>
      <c r="C4776" s="41"/>
      <c r="D4776" s="26" t="e">
        <f>TRIM(INDEX(#REF!,MATCH(Composições!A4776,#REF!,0),1))</f>
        <v>#REF!</v>
      </c>
      <c r="E4776" s="27"/>
      <c r="F4776" s="42" t="s">
        <v>560</v>
      </c>
      <c r="G4776" s="28" t="str">
        <f t="shared" si="81"/>
        <v/>
      </c>
      <c r="H4776" s="29"/>
      <c r="I4776" s="30"/>
      <c r="J4776" s="155">
        <v>0</v>
      </c>
    </row>
    <row r="4777" spans="1:10" ht="15" hidden="1" thickBot="1" x14ac:dyDescent="0.35">
      <c r="A4777" s="229"/>
      <c r="B4777" s="224"/>
      <c r="C4777" s="32"/>
      <c r="D4777" s="32"/>
      <c r="E4777" s="33"/>
      <c r="F4777" s="43" t="s">
        <v>560</v>
      </c>
      <c r="G4777" s="34" t="str">
        <f t="shared" si="81"/>
        <v/>
      </c>
      <c r="H4777" s="35"/>
      <c r="I4777" s="31"/>
      <c r="J4777" s="155">
        <v>0</v>
      </c>
    </row>
    <row r="4778" spans="1:10" ht="15" hidden="1" thickBot="1" x14ac:dyDescent="0.35">
      <c r="A4778" s="229"/>
      <c r="B4778" s="224"/>
      <c r="C4778" s="36" t="s">
        <v>68</v>
      </c>
      <c r="D4778" s="36" t="s">
        <v>12</v>
      </c>
      <c r="E4778" s="37">
        <v>0.3</v>
      </c>
      <c r="F4778" s="34">
        <v>18.861499999999999</v>
      </c>
      <c r="G4778" s="34">
        <f t="shared" si="81"/>
        <v>5.6584499999999993</v>
      </c>
      <c r="H4778" s="39">
        <f>SUM(G4778:G4779)</f>
        <v>5.6584499999999993</v>
      </c>
      <c r="I4778" s="40"/>
      <c r="J4778" s="155">
        <v>0</v>
      </c>
    </row>
    <row r="4779" spans="1:10" ht="27" hidden="1" thickBot="1" x14ac:dyDescent="0.35">
      <c r="A4779" s="229"/>
      <c r="B4779" s="224"/>
      <c r="C4779" s="36" t="s">
        <v>1966</v>
      </c>
      <c r="D4779" s="47" t="s">
        <v>20</v>
      </c>
      <c r="E4779" s="37">
        <v>1</v>
      </c>
      <c r="F4779" s="31" t="s">
        <v>560</v>
      </c>
      <c r="G4779" s="34" t="str">
        <f t="shared" si="81"/>
        <v/>
      </c>
      <c r="H4779" s="35"/>
      <c r="I4779" s="31"/>
      <c r="J4779" s="155">
        <v>0</v>
      </c>
    </row>
    <row r="4780" spans="1:10" ht="15" hidden="1" thickBot="1" x14ac:dyDescent="0.35">
      <c r="A4780" s="230"/>
      <c r="B4780" s="225"/>
      <c r="C4780" s="36"/>
      <c r="D4780" s="36"/>
      <c r="E4780" s="37"/>
      <c r="F4780" s="31" t="s">
        <v>560</v>
      </c>
      <c r="G4780" s="34" t="str">
        <f t="shared" si="81"/>
        <v/>
      </c>
      <c r="H4780" s="35"/>
      <c r="I4780" s="31"/>
      <c r="J4780" s="155">
        <v>0</v>
      </c>
    </row>
    <row r="4781" spans="1:10" ht="15" hidden="1" thickBot="1" x14ac:dyDescent="0.35">
      <c r="A4781" s="226" t="s">
        <v>1887</v>
      </c>
      <c r="B4781" s="223" t="e">
        <f>INDEX(#REF!,MATCH(Composições!A4781,#REF!,0),2)</f>
        <v>#REF!</v>
      </c>
      <c r="C4781" s="41"/>
      <c r="D4781" s="26" t="e">
        <f>TRIM(INDEX(#REF!,MATCH(Composições!A4781,#REF!,0),1))</f>
        <v>#REF!</v>
      </c>
      <c r="E4781" s="27"/>
      <c r="F4781" s="42" t="s">
        <v>560</v>
      </c>
      <c r="G4781" s="28" t="str">
        <f t="shared" si="81"/>
        <v/>
      </c>
      <c r="H4781" s="29"/>
      <c r="I4781" s="30"/>
      <c r="J4781" s="155">
        <v>0</v>
      </c>
    </row>
    <row r="4782" spans="1:10" ht="15" hidden="1" thickBot="1" x14ac:dyDescent="0.35">
      <c r="A4782" s="229"/>
      <c r="B4782" s="224"/>
      <c r="C4782" s="32"/>
      <c r="D4782" s="32"/>
      <c r="E4782" s="33"/>
      <c r="F4782" s="43" t="s">
        <v>560</v>
      </c>
      <c r="G4782" s="31" t="str">
        <f t="shared" si="81"/>
        <v/>
      </c>
      <c r="H4782" s="35"/>
      <c r="I4782" s="31"/>
      <c r="J4782" s="155">
        <v>0</v>
      </c>
    </row>
    <row r="4783" spans="1:10" ht="27" hidden="1" thickBot="1" x14ac:dyDescent="0.35">
      <c r="A4783" s="229"/>
      <c r="B4783" s="224"/>
      <c r="C4783" s="36" t="s">
        <v>1968</v>
      </c>
      <c r="D4783" s="36" t="s">
        <v>147</v>
      </c>
      <c r="E4783" s="37">
        <v>1</v>
      </c>
      <c r="F4783" s="34" t="s">
        <v>560</v>
      </c>
      <c r="G4783" s="34" t="str">
        <f t="shared" si="81"/>
        <v/>
      </c>
      <c r="H4783" s="39">
        <f>SUM(G4783:G4786)</f>
        <v>12.8347008</v>
      </c>
      <c r="I4783" s="40"/>
      <c r="J4783" s="155">
        <v>0</v>
      </c>
    </row>
    <row r="4784" spans="1:10" ht="27" hidden="1" thickBot="1" x14ac:dyDescent="0.35">
      <c r="A4784" s="229"/>
      <c r="B4784" s="224"/>
      <c r="C4784" s="36" t="s">
        <v>1967</v>
      </c>
      <c r="D4784" s="36" t="s">
        <v>147</v>
      </c>
      <c r="E4784" s="37">
        <v>1</v>
      </c>
      <c r="F4784" s="34" t="s">
        <v>560</v>
      </c>
      <c r="G4784" s="34" t="str">
        <f t="shared" si="81"/>
        <v/>
      </c>
      <c r="H4784" s="45"/>
      <c r="I4784" s="46"/>
      <c r="J4784" s="155">
        <v>0</v>
      </c>
    </row>
    <row r="4785" spans="1:10" ht="15" hidden="1" thickBot="1" x14ac:dyDescent="0.35">
      <c r="A4785" s="229"/>
      <c r="B4785" s="224"/>
      <c r="C4785" s="36" t="s">
        <v>74</v>
      </c>
      <c r="D4785" s="47" t="s">
        <v>12</v>
      </c>
      <c r="E4785" s="37">
        <v>0.19719999999999999</v>
      </c>
      <c r="F4785" s="31">
        <v>15.928999999999998</v>
      </c>
      <c r="G4785" s="31">
        <f t="shared" si="81"/>
        <v>3.1411987999999993</v>
      </c>
      <c r="H4785" s="35"/>
      <c r="I4785" s="31"/>
      <c r="J4785" s="155">
        <v>0</v>
      </c>
    </row>
    <row r="4786" spans="1:10" ht="15" hidden="1" thickBot="1" x14ac:dyDescent="0.35">
      <c r="A4786" s="229"/>
      <c r="B4786" s="224"/>
      <c r="C4786" s="36" t="s">
        <v>30</v>
      </c>
      <c r="D4786" s="36" t="s">
        <v>12</v>
      </c>
      <c r="E4786" s="37">
        <v>0.47320000000000001</v>
      </c>
      <c r="F4786" s="31">
        <v>20.484999999999999</v>
      </c>
      <c r="G4786" s="31">
        <f t="shared" ref="G4786:G4849" si="82">IF(ISNUMBER(F4786),E4786*F4786,"")</f>
        <v>9.6935020000000005</v>
      </c>
      <c r="H4786" s="35"/>
      <c r="I4786" s="31"/>
      <c r="J4786" s="155">
        <v>0</v>
      </c>
    </row>
    <row r="4787" spans="1:10" ht="15" hidden="1" thickBot="1" x14ac:dyDescent="0.35">
      <c r="A4787" s="230"/>
      <c r="B4787" s="225"/>
      <c r="C4787" s="36"/>
      <c r="D4787" s="36"/>
      <c r="E4787" s="37"/>
      <c r="F4787" s="31" t="s">
        <v>560</v>
      </c>
      <c r="G4787" s="31" t="str">
        <f t="shared" si="82"/>
        <v/>
      </c>
      <c r="H4787" s="35"/>
      <c r="I4787" s="31"/>
      <c r="J4787" s="155">
        <v>0</v>
      </c>
    </row>
    <row r="4788" spans="1:10" ht="15" hidden="1" thickBot="1" x14ac:dyDescent="0.35">
      <c r="A4788" s="226" t="s">
        <v>1888</v>
      </c>
      <c r="B4788" s="223" t="e">
        <f>INDEX(#REF!,MATCH(Composições!A4788,#REF!,0),2)</f>
        <v>#REF!</v>
      </c>
      <c r="C4788" s="41"/>
      <c r="D4788" s="26" t="e">
        <f>TRIM(INDEX(#REF!,MATCH(Composições!A4788,#REF!,0),1))</f>
        <v>#REF!</v>
      </c>
      <c r="E4788" s="27"/>
      <c r="F4788" s="42" t="s">
        <v>560</v>
      </c>
      <c r="G4788" s="28" t="str">
        <f t="shared" si="82"/>
        <v/>
      </c>
      <c r="H4788" s="29"/>
      <c r="I4788" s="30"/>
      <c r="J4788" s="155">
        <v>0</v>
      </c>
    </row>
    <row r="4789" spans="1:10" ht="15" hidden="1" thickBot="1" x14ac:dyDescent="0.35">
      <c r="A4789" s="229"/>
      <c r="B4789" s="224"/>
      <c r="C4789" s="32"/>
      <c r="D4789" s="32"/>
      <c r="E4789" s="33"/>
      <c r="F4789" s="43" t="s">
        <v>560</v>
      </c>
      <c r="G4789" s="31" t="str">
        <f t="shared" si="82"/>
        <v/>
      </c>
      <c r="H4789" s="35"/>
      <c r="I4789" s="31"/>
      <c r="J4789" s="155">
        <v>0</v>
      </c>
    </row>
    <row r="4790" spans="1:10" ht="15" hidden="1" thickBot="1" x14ac:dyDescent="0.35">
      <c r="A4790" s="229"/>
      <c r="B4790" s="224"/>
      <c r="C4790" s="36" t="s">
        <v>1706</v>
      </c>
      <c r="D4790" s="36" t="s">
        <v>292</v>
      </c>
      <c r="E4790" s="37">
        <v>1.2E-2</v>
      </c>
      <c r="F4790" s="34">
        <v>18.955000000000002</v>
      </c>
      <c r="G4790" s="34">
        <f t="shared" si="82"/>
        <v>0.22746000000000002</v>
      </c>
      <c r="H4790" s="39">
        <f>SUM(G4790:G4793)</f>
        <v>26.144062000000002</v>
      </c>
      <c r="I4790" s="40"/>
      <c r="J4790" s="155">
        <v>0</v>
      </c>
    </row>
    <row r="4791" spans="1:10" ht="27" hidden="1" thickBot="1" x14ac:dyDescent="0.35">
      <c r="A4791" s="229"/>
      <c r="B4791" s="224"/>
      <c r="C4791" s="36" t="s">
        <v>1839</v>
      </c>
      <c r="D4791" s="36" t="s">
        <v>292</v>
      </c>
      <c r="E4791" s="37">
        <v>1</v>
      </c>
      <c r="F4791" s="34">
        <v>19.439499999999999</v>
      </c>
      <c r="G4791" s="34">
        <f t="shared" si="82"/>
        <v>19.439499999999999</v>
      </c>
      <c r="H4791" s="45"/>
      <c r="I4791" s="46"/>
      <c r="J4791" s="155">
        <v>0</v>
      </c>
    </row>
    <row r="4792" spans="1:10" ht="27" hidden="1" thickBot="1" x14ac:dyDescent="0.35">
      <c r="A4792" s="229"/>
      <c r="B4792" s="224"/>
      <c r="C4792" s="36" t="s">
        <v>994</v>
      </c>
      <c r="D4792" s="47" t="s">
        <v>744</v>
      </c>
      <c r="E4792" s="37">
        <v>0.183</v>
      </c>
      <c r="F4792" s="31">
        <v>15.4955</v>
      </c>
      <c r="G4792" s="31">
        <f t="shared" si="82"/>
        <v>2.8356764999999999</v>
      </c>
      <c r="H4792" s="35"/>
      <c r="I4792" s="31"/>
      <c r="J4792" s="155">
        <v>0</v>
      </c>
    </row>
    <row r="4793" spans="1:10" ht="27" hidden="1" thickBot="1" x14ac:dyDescent="0.35">
      <c r="A4793" s="229"/>
      <c r="B4793" s="224"/>
      <c r="C4793" s="36" t="s">
        <v>995</v>
      </c>
      <c r="D4793" s="36" t="s">
        <v>744</v>
      </c>
      <c r="E4793" s="37">
        <v>0.183</v>
      </c>
      <c r="F4793" s="31">
        <v>19.898499999999999</v>
      </c>
      <c r="G4793" s="31">
        <f t="shared" si="82"/>
        <v>3.6414254999999995</v>
      </c>
      <c r="H4793" s="35"/>
      <c r="I4793" s="31"/>
      <c r="J4793" s="155">
        <v>0</v>
      </c>
    </row>
    <row r="4794" spans="1:10" ht="15" hidden="1" thickBot="1" x14ac:dyDescent="0.35">
      <c r="A4794" s="230"/>
      <c r="B4794" s="225"/>
      <c r="C4794" s="36"/>
      <c r="D4794" s="36"/>
      <c r="E4794" s="37"/>
      <c r="F4794" s="31" t="s">
        <v>560</v>
      </c>
      <c r="G4794" s="31" t="str">
        <f t="shared" si="82"/>
        <v/>
      </c>
      <c r="H4794" s="35"/>
      <c r="I4794" s="31"/>
      <c r="J4794" s="155">
        <v>0</v>
      </c>
    </row>
    <row r="4795" spans="1:10" ht="15" hidden="1" thickBot="1" x14ac:dyDescent="0.35">
      <c r="A4795" s="226" t="s">
        <v>1889</v>
      </c>
      <c r="B4795" s="223" t="e">
        <f>INDEX(#REF!,MATCH(Composições!A4795,#REF!,0),2)</f>
        <v>#REF!</v>
      </c>
      <c r="C4795" s="41"/>
      <c r="D4795" s="26" t="e">
        <f>TRIM(INDEX(#REF!,MATCH(Composições!A4795,#REF!,0),1))</f>
        <v>#REF!</v>
      </c>
      <c r="E4795" s="27"/>
      <c r="F4795" s="42" t="s">
        <v>560</v>
      </c>
      <c r="G4795" s="28" t="str">
        <f t="shared" si="82"/>
        <v/>
      </c>
      <c r="H4795" s="29"/>
      <c r="I4795" s="30"/>
      <c r="J4795" s="155">
        <v>0</v>
      </c>
    </row>
    <row r="4796" spans="1:10" ht="15" hidden="1" thickBot="1" x14ac:dyDescent="0.35">
      <c r="A4796" s="229"/>
      <c r="B4796" s="224"/>
      <c r="C4796" s="32"/>
      <c r="D4796" s="32"/>
      <c r="E4796" s="33"/>
      <c r="F4796" s="43" t="s">
        <v>560</v>
      </c>
      <c r="G4796" s="31" t="str">
        <f t="shared" si="82"/>
        <v/>
      </c>
      <c r="H4796" s="35"/>
      <c r="I4796" s="31"/>
      <c r="J4796" s="155">
        <v>0</v>
      </c>
    </row>
    <row r="4797" spans="1:10" ht="15" hidden="1" thickBot="1" x14ac:dyDescent="0.35">
      <c r="A4797" s="229"/>
      <c r="B4797" s="224"/>
      <c r="C4797" s="36" t="s">
        <v>338</v>
      </c>
      <c r="D4797" s="36" t="s">
        <v>292</v>
      </c>
      <c r="E4797" s="37">
        <v>1.9E-2</v>
      </c>
      <c r="F4797" s="34">
        <v>11.4665</v>
      </c>
      <c r="G4797" s="34">
        <f t="shared" si="82"/>
        <v>0.21786349999999999</v>
      </c>
      <c r="H4797" s="39">
        <f>SUM(G4797:G4800)</f>
        <v>22.558556299999999</v>
      </c>
      <c r="I4797" s="40"/>
      <c r="J4797" s="155">
        <v>0</v>
      </c>
    </row>
    <row r="4798" spans="1:10" ht="15" hidden="1" thickBot="1" x14ac:dyDescent="0.35">
      <c r="A4798" s="229"/>
      <c r="B4798" s="224"/>
      <c r="C4798" s="36" t="s">
        <v>1969</v>
      </c>
      <c r="D4798" s="36" t="s">
        <v>292</v>
      </c>
      <c r="E4798" s="37">
        <v>1</v>
      </c>
      <c r="F4798" s="34" t="s">
        <v>560</v>
      </c>
      <c r="G4798" s="34" t="str">
        <f t="shared" si="82"/>
        <v/>
      </c>
      <c r="H4798" s="45"/>
      <c r="I4798" s="46"/>
      <c r="J4798" s="155">
        <v>0</v>
      </c>
    </row>
    <row r="4799" spans="1:10" ht="27" hidden="1" thickBot="1" x14ac:dyDescent="0.35">
      <c r="A4799" s="229"/>
      <c r="B4799" s="224"/>
      <c r="C4799" s="36" t="s">
        <v>994</v>
      </c>
      <c r="D4799" s="47" t="s">
        <v>744</v>
      </c>
      <c r="E4799" s="37">
        <f>ROUND(0.789*0.8,4)</f>
        <v>0.63119999999999998</v>
      </c>
      <c r="F4799" s="31">
        <v>15.4955</v>
      </c>
      <c r="G4799" s="31">
        <f t="shared" si="82"/>
        <v>9.7807595999999997</v>
      </c>
      <c r="H4799" s="35"/>
      <c r="I4799" s="31"/>
      <c r="J4799" s="155">
        <v>0</v>
      </c>
    </row>
    <row r="4800" spans="1:10" ht="27" hidden="1" thickBot="1" x14ac:dyDescent="0.35">
      <c r="A4800" s="229"/>
      <c r="B4800" s="224"/>
      <c r="C4800" s="36" t="s">
        <v>995</v>
      </c>
      <c r="D4800" s="36" t="s">
        <v>744</v>
      </c>
      <c r="E4800" s="37">
        <f>ROUND(0.789*0.8,4)</f>
        <v>0.63119999999999998</v>
      </c>
      <c r="F4800" s="31">
        <v>19.898499999999999</v>
      </c>
      <c r="G4800" s="31">
        <f t="shared" si="82"/>
        <v>12.559933199999998</v>
      </c>
      <c r="H4800" s="35"/>
      <c r="I4800" s="31"/>
      <c r="J4800" s="155">
        <v>0</v>
      </c>
    </row>
    <row r="4801" spans="1:10" ht="15" hidden="1" thickBot="1" x14ac:dyDescent="0.35">
      <c r="A4801" s="230"/>
      <c r="B4801" s="225"/>
      <c r="C4801" s="36"/>
      <c r="D4801" s="36"/>
      <c r="E4801" s="37"/>
      <c r="F4801" s="31" t="s">
        <v>560</v>
      </c>
      <c r="G4801" s="31" t="str">
        <f t="shared" si="82"/>
        <v/>
      </c>
      <c r="H4801" s="35"/>
      <c r="I4801" s="31"/>
      <c r="J4801" s="155">
        <v>0</v>
      </c>
    </row>
    <row r="4802" spans="1:10" ht="15" hidden="1" thickBot="1" x14ac:dyDescent="0.35">
      <c r="A4802" s="226" t="s">
        <v>1890</v>
      </c>
      <c r="B4802" s="223" t="e">
        <f>INDEX(#REF!,MATCH(Composições!A4802,#REF!,0),2)</f>
        <v>#REF!</v>
      </c>
      <c r="C4802" s="41"/>
      <c r="D4802" s="26" t="e">
        <f>TRIM(INDEX(#REF!,MATCH(Composições!A4802,#REF!,0),1))</f>
        <v>#REF!</v>
      </c>
      <c r="E4802" s="27"/>
      <c r="F4802" s="42" t="s">
        <v>560</v>
      </c>
      <c r="G4802" s="28" t="str">
        <f t="shared" si="82"/>
        <v/>
      </c>
      <c r="H4802" s="29"/>
      <c r="I4802" s="30"/>
      <c r="J4802" s="155">
        <v>0</v>
      </c>
    </row>
    <row r="4803" spans="1:10" ht="15" hidden="1" thickBot="1" x14ac:dyDescent="0.35">
      <c r="A4803" s="229"/>
      <c r="B4803" s="224"/>
      <c r="C4803" s="32"/>
      <c r="D4803" s="32"/>
      <c r="E4803" s="33"/>
      <c r="F4803" s="43" t="s">
        <v>560</v>
      </c>
      <c r="G4803" s="31" t="str">
        <f t="shared" si="82"/>
        <v/>
      </c>
      <c r="H4803" s="35"/>
      <c r="I4803" s="31"/>
      <c r="J4803" s="155">
        <v>0</v>
      </c>
    </row>
    <row r="4804" spans="1:10" ht="15" hidden="1" thickBot="1" x14ac:dyDescent="0.35">
      <c r="A4804" s="229"/>
      <c r="B4804" s="224"/>
      <c r="C4804" s="36" t="s">
        <v>338</v>
      </c>
      <c r="D4804" s="36" t="s">
        <v>292</v>
      </c>
      <c r="E4804" s="37">
        <v>1.9E-2</v>
      </c>
      <c r="F4804" s="34">
        <v>11.4665</v>
      </c>
      <c r="G4804" s="34">
        <f t="shared" si="82"/>
        <v>0.21786349999999999</v>
      </c>
      <c r="H4804" s="39">
        <f>SUM(G4804:G4807)</f>
        <v>22.558556299999999</v>
      </c>
      <c r="I4804" s="40"/>
      <c r="J4804" s="155">
        <v>0</v>
      </c>
    </row>
    <row r="4805" spans="1:10" ht="15" hidden="1" thickBot="1" x14ac:dyDescent="0.35">
      <c r="A4805" s="229"/>
      <c r="B4805" s="224"/>
      <c r="C4805" s="36" t="s">
        <v>1970</v>
      </c>
      <c r="D4805" s="36" t="s">
        <v>292</v>
      </c>
      <c r="E4805" s="37">
        <v>1</v>
      </c>
      <c r="F4805" s="34" t="s">
        <v>560</v>
      </c>
      <c r="G4805" s="34" t="str">
        <f t="shared" si="82"/>
        <v/>
      </c>
      <c r="H4805" s="45"/>
      <c r="I4805" s="46"/>
      <c r="J4805" s="155">
        <v>0</v>
      </c>
    </row>
    <row r="4806" spans="1:10" ht="27" hidden="1" thickBot="1" x14ac:dyDescent="0.35">
      <c r="A4806" s="229"/>
      <c r="B4806" s="224"/>
      <c r="C4806" s="36" t="s">
        <v>994</v>
      </c>
      <c r="D4806" s="47" t="s">
        <v>744</v>
      </c>
      <c r="E4806" s="37">
        <f t="shared" ref="E4806:E4807" si="83">ROUND(0.789*0.8,4)</f>
        <v>0.63119999999999998</v>
      </c>
      <c r="F4806" s="31">
        <v>15.4955</v>
      </c>
      <c r="G4806" s="31">
        <f t="shared" si="82"/>
        <v>9.7807595999999997</v>
      </c>
      <c r="H4806" s="35"/>
      <c r="I4806" s="31"/>
      <c r="J4806" s="155">
        <v>0</v>
      </c>
    </row>
    <row r="4807" spans="1:10" ht="27" hidden="1" thickBot="1" x14ac:dyDescent="0.35">
      <c r="A4807" s="229"/>
      <c r="B4807" s="224"/>
      <c r="C4807" s="36" t="s">
        <v>995</v>
      </c>
      <c r="D4807" s="36" t="s">
        <v>744</v>
      </c>
      <c r="E4807" s="37">
        <f t="shared" si="83"/>
        <v>0.63119999999999998</v>
      </c>
      <c r="F4807" s="31">
        <v>19.898499999999999</v>
      </c>
      <c r="G4807" s="31">
        <f t="shared" si="82"/>
        <v>12.559933199999998</v>
      </c>
      <c r="H4807" s="35"/>
      <c r="I4807" s="31"/>
      <c r="J4807" s="155">
        <v>0</v>
      </c>
    </row>
    <row r="4808" spans="1:10" ht="15" hidden="1" thickBot="1" x14ac:dyDescent="0.35">
      <c r="A4808" s="230"/>
      <c r="B4808" s="225"/>
      <c r="C4808" s="36"/>
      <c r="D4808" s="36"/>
      <c r="E4808" s="37"/>
      <c r="F4808" s="31" t="s">
        <v>560</v>
      </c>
      <c r="G4808" s="31" t="str">
        <f t="shared" si="82"/>
        <v/>
      </c>
      <c r="H4808" s="35"/>
      <c r="I4808" s="31"/>
      <c r="J4808" s="155">
        <v>0</v>
      </c>
    </row>
    <row r="4809" spans="1:10" ht="15" hidden="1" thickBot="1" x14ac:dyDescent="0.35">
      <c r="A4809" s="226" t="s">
        <v>1891</v>
      </c>
      <c r="B4809" s="223" t="e">
        <f>INDEX(#REF!,MATCH(Composições!A4809,#REF!,0),2)</f>
        <v>#REF!</v>
      </c>
      <c r="C4809" s="41"/>
      <c r="D4809" s="26" t="e">
        <f>TRIM(INDEX(#REF!,MATCH(Composições!A4809,#REF!,0),1))</f>
        <v>#REF!</v>
      </c>
      <c r="E4809" s="27"/>
      <c r="F4809" s="42" t="s">
        <v>560</v>
      </c>
      <c r="G4809" s="28" t="str">
        <f t="shared" si="82"/>
        <v/>
      </c>
      <c r="H4809" s="29"/>
      <c r="I4809" s="30"/>
      <c r="J4809" s="155">
        <v>0</v>
      </c>
    </row>
    <row r="4810" spans="1:10" ht="15" hidden="1" thickBot="1" x14ac:dyDescent="0.35">
      <c r="A4810" s="229"/>
      <c r="B4810" s="224"/>
      <c r="C4810" s="32"/>
      <c r="D4810" s="32"/>
      <c r="E4810" s="33"/>
      <c r="F4810" s="43" t="s">
        <v>560</v>
      </c>
      <c r="G4810" s="34" t="str">
        <f t="shared" si="82"/>
        <v/>
      </c>
      <c r="H4810" s="35"/>
      <c r="I4810" s="31"/>
      <c r="J4810" s="155">
        <v>0</v>
      </c>
    </row>
    <row r="4811" spans="1:10" ht="15" hidden="1" thickBot="1" x14ac:dyDescent="0.35">
      <c r="A4811" s="229"/>
      <c r="B4811" s="224"/>
      <c r="C4811" s="36" t="s">
        <v>319</v>
      </c>
      <c r="D4811" s="47" t="s">
        <v>20</v>
      </c>
      <c r="E4811" s="37">
        <v>1</v>
      </c>
      <c r="F4811" s="34">
        <v>2.4649999999999999</v>
      </c>
      <c r="G4811" s="54">
        <f t="shared" si="82"/>
        <v>2.4649999999999999</v>
      </c>
      <c r="H4811" s="39">
        <f>SUM(G4811:G4812)</f>
        <v>4.4548499999999995</v>
      </c>
      <c r="I4811" s="31"/>
      <c r="J4811" s="155">
        <v>0</v>
      </c>
    </row>
    <row r="4812" spans="1:10" ht="27" hidden="1" thickBot="1" x14ac:dyDescent="0.35">
      <c r="A4812" s="229"/>
      <c r="B4812" s="224"/>
      <c r="C4812" s="36" t="s">
        <v>995</v>
      </c>
      <c r="D4812" s="36" t="s">
        <v>744</v>
      </c>
      <c r="E4812" s="37">
        <v>0.1</v>
      </c>
      <c r="F4812" s="31">
        <v>19.898499999999999</v>
      </c>
      <c r="G4812" s="31">
        <f t="shared" si="82"/>
        <v>1.9898499999999999</v>
      </c>
      <c r="H4812" s="35"/>
      <c r="I4812" s="31"/>
      <c r="J4812" s="155">
        <v>0</v>
      </c>
    </row>
    <row r="4813" spans="1:10" ht="15" hidden="1" thickBot="1" x14ac:dyDescent="0.35">
      <c r="A4813" s="230"/>
      <c r="B4813" s="225"/>
      <c r="C4813" s="36"/>
      <c r="D4813" s="36"/>
      <c r="E4813" s="37"/>
      <c r="F4813" s="31" t="s">
        <v>560</v>
      </c>
      <c r="G4813" s="34" t="str">
        <f t="shared" si="82"/>
        <v/>
      </c>
      <c r="H4813" s="35"/>
      <c r="I4813" s="31"/>
      <c r="J4813" s="155">
        <v>0</v>
      </c>
    </row>
    <row r="4814" spans="1:10" ht="15" hidden="1" thickBot="1" x14ac:dyDescent="0.35">
      <c r="A4814" s="220" t="s">
        <v>1892</v>
      </c>
      <c r="B4814" s="233" t="e">
        <f>INDEX(#REF!,MATCH(Composições!A4814,#REF!,0),2)</f>
        <v>#REF!</v>
      </c>
      <c r="C4814" s="41"/>
      <c r="D4814" s="26" t="e">
        <f>TRIM(INDEX(#REF!,MATCH(Composições!A4814,#REF!,0),1))</f>
        <v>#REF!</v>
      </c>
      <c r="E4814" s="27"/>
      <c r="F4814" s="42" t="s">
        <v>560</v>
      </c>
      <c r="G4814" s="28" t="str">
        <f t="shared" si="82"/>
        <v/>
      </c>
      <c r="H4814" s="29"/>
      <c r="I4814" s="30"/>
      <c r="J4814" s="155">
        <v>0</v>
      </c>
    </row>
    <row r="4815" spans="1:10" ht="15" hidden="1" thickBot="1" x14ac:dyDescent="0.35">
      <c r="A4815" s="231"/>
      <c r="B4815" s="234"/>
      <c r="C4815" s="32"/>
      <c r="D4815" s="32"/>
      <c r="E4815" s="33"/>
      <c r="F4815" s="43" t="s">
        <v>560</v>
      </c>
      <c r="G4815" s="31" t="str">
        <f t="shared" si="82"/>
        <v/>
      </c>
      <c r="H4815" s="35"/>
      <c r="I4815" s="31"/>
      <c r="J4815" s="155">
        <v>0</v>
      </c>
    </row>
    <row r="4816" spans="1:10" ht="53.4" hidden="1" thickBot="1" x14ac:dyDescent="0.35">
      <c r="A4816" s="231"/>
      <c r="B4816" s="234"/>
      <c r="C4816" s="36" t="s">
        <v>2055</v>
      </c>
      <c r="D4816" s="47" t="s">
        <v>292</v>
      </c>
      <c r="E4816" s="37">
        <v>1</v>
      </c>
      <c r="F4816" s="34">
        <v>175.66949999999997</v>
      </c>
      <c r="G4816" s="34">
        <f t="shared" si="82"/>
        <v>175.66949999999997</v>
      </c>
      <c r="H4816" s="39">
        <f>SUM(G4816:G4818)</f>
        <v>204.02349399999997</v>
      </c>
      <c r="I4816" s="40"/>
      <c r="J4816" s="155">
        <v>0</v>
      </c>
    </row>
    <row r="4817" spans="1:10" ht="15" hidden="1" thickBot="1" x14ac:dyDescent="0.35">
      <c r="A4817" s="231"/>
      <c r="B4817" s="234"/>
      <c r="C4817" s="36" t="s">
        <v>743</v>
      </c>
      <c r="D4817" s="47" t="s">
        <v>744</v>
      </c>
      <c r="E4817" s="37">
        <f>ROUND(1.282*0.8,4)</f>
        <v>1.0256000000000001</v>
      </c>
      <c r="F4817" s="31">
        <v>20.161999999999999</v>
      </c>
      <c r="G4817" s="34">
        <f t="shared" si="82"/>
        <v>20.678147200000002</v>
      </c>
      <c r="H4817" s="35"/>
      <c r="I4817" s="31"/>
      <c r="J4817" s="155">
        <v>0</v>
      </c>
    </row>
    <row r="4818" spans="1:10" ht="15" hidden="1" thickBot="1" x14ac:dyDescent="0.35">
      <c r="A4818" s="231"/>
      <c r="B4818" s="234"/>
      <c r="C4818" s="36" t="s">
        <v>745</v>
      </c>
      <c r="D4818" s="47" t="s">
        <v>744</v>
      </c>
      <c r="E4818" s="37">
        <f>ROUND(0.641*0.8,4)</f>
        <v>0.51280000000000003</v>
      </c>
      <c r="F4818" s="31">
        <v>14.968499999999999</v>
      </c>
      <c r="G4818" s="34">
        <f t="shared" si="82"/>
        <v>7.6758467999999995</v>
      </c>
      <c r="H4818" s="35"/>
      <c r="I4818" s="31"/>
      <c r="J4818" s="155">
        <v>0</v>
      </c>
    </row>
    <row r="4819" spans="1:10" ht="15" hidden="1" thickBot="1" x14ac:dyDescent="0.35">
      <c r="A4819" s="231"/>
      <c r="B4819" s="234"/>
      <c r="C4819" s="36"/>
      <c r="D4819" s="47"/>
      <c r="E4819" s="37"/>
      <c r="F4819" s="34" t="s">
        <v>560</v>
      </c>
      <c r="G4819" s="34" t="str">
        <f t="shared" si="82"/>
        <v/>
      </c>
      <c r="H4819" s="35"/>
      <c r="I4819" s="31"/>
      <c r="J4819" s="155">
        <v>0</v>
      </c>
    </row>
    <row r="4820" spans="1:10" ht="15" hidden="1" thickBot="1" x14ac:dyDescent="0.35">
      <c r="A4820" s="220" t="s">
        <v>1893</v>
      </c>
      <c r="B4820" s="233" t="e">
        <f>INDEX(#REF!,MATCH(Composições!A4820,#REF!,0),2)</f>
        <v>#REF!</v>
      </c>
      <c r="C4820" s="41"/>
      <c r="D4820" s="26" t="e">
        <f>TRIM(INDEX(#REF!,MATCH(Composições!A4820,#REF!,0),1))</f>
        <v>#REF!</v>
      </c>
      <c r="E4820" s="27"/>
      <c r="F4820" s="42" t="s">
        <v>560</v>
      </c>
      <c r="G4820" s="28" t="str">
        <f t="shared" si="82"/>
        <v/>
      </c>
      <c r="H4820" s="29"/>
      <c r="I4820" s="30"/>
      <c r="J4820" s="155">
        <v>0</v>
      </c>
    </row>
    <row r="4821" spans="1:10" ht="15" hidden="1" thickBot="1" x14ac:dyDescent="0.35">
      <c r="A4821" s="231"/>
      <c r="B4821" s="234"/>
      <c r="C4821" s="32"/>
      <c r="D4821" s="32"/>
      <c r="E4821" s="33"/>
      <c r="F4821" s="43" t="s">
        <v>560</v>
      </c>
      <c r="G4821" s="31" t="str">
        <f t="shared" si="82"/>
        <v/>
      </c>
      <c r="H4821" s="35"/>
      <c r="I4821" s="31"/>
      <c r="J4821" s="155">
        <v>0</v>
      </c>
    </row>
    <row r="4822" spans="1:10" ht="53.4" hidden="1" thickBot="1" x14ac:dyDescent="0.35">
      <c r="A4822" s="231"/>
      <c r="B4822" s="234"/>
      <c r="C4822" s="36" t="s">
        <v>2050</v>
      </c>
      <c r="D4822" s="47" t="s">
        <v>292</v>
      </c>
      <c r="E4822" s="37">
        <v>1</v>
      </c>
      <c r="F4822" s="34">
        <v>190.95249999999999</v>
      </c>
      <c r="G4822" s="34">
        <f t="shared" si="82"/>
        <v>190.95249999999999</v>
      </c>
      <c r="H4822" s="39">
        <f>SUM(G4822:G4824)</f>
        <v>222.22593799999999</v>
      </c>
      <c r="I4822" s="40"/>
      <c r="J4822" s="155">
        <v>0</v>
      </c>
    </row>
    <row r="4823" spans="1:10" ht="15" hidden="1" thickBot="1" x14ac:dyDescent="0.35">
      <c r="A4823" s="231"/>
      <c r="B4823" s="234"/>
      <c r="C4823" s="36" t="s">
        <v>743</v>
      </c>
      <c r="D4823" s="47" t="s">
        <v>744</v>
      </c>
      <c r="E4823" s="37">
        <f>ROUND(1.414*0.8,4)</f>
        <v>1.1312</v>
      </c>
      <c r="F4823" s="31">
        <v>20.161999999999999</v>
      </c>
      <c r="G4823" s="34">
        <f t="shared" si="82"/>
        <v>22.807254399999998</v>
      </c>
      <c r="H4823" s="35"/>
      <c r="I4823" s="31"/>
      <c r="J4823" s="155">
        <v>0</v>
      </c>
    </row>
    <row r="4824" spans="1:10" ht="15" hidden="1" thickBot="1" x14ac:dyDescent="0.35">
      <c r="A4824" s="231"/>
      <c r="B4824" s="234"/>
      <c r="C4824" s="36" t="s">
        <v>745</v>
      </c>
      <c r="D4824" s="47" t="s">
        <v>744</v>
      </c>
      <c r="E4824" s="37">
        <f>ROUND(0.707*0.8,4)</f>
        <v>0.56559999999999999</v>
      </c>
      <c r="F4824" s="31">
        <v>14.968499999999999</v>
      </c>
      <c r="G4824" s="34">
        <f t="shared" si="82"/>
        <v>8.466183599999999</v>
      </c>
      <c r="H4824" s="35"/>
      <c r="I4824" s="31"/>
      <c r="J4824" s="155">
        <v>0</v>
      </c>
    </row>
    <row r="4825" spans="1:10" ht="15" hidden="1" thickBot="1" x14ac:dyDescent="0.35">
      <c r="A4825" s="231"/>
      <c r="B4825" s="234"/>
      <c r="C4825" s="36"/>
      <c r="D4825" s="47"/>
      <c r="E4825" s="37"/>
      <c r="F4825" s="34" t="s">
        <v>560</v>
      </c>
      <c r="G4825" s="34" t="str">
        <f t="shared" si="82"/>
        <v/>
      </c>
      <c r="H4825" s="35"/>
      <c r="I4825" s="31"/>
      <c r="J4825" s="155">
        <v>0</v>
      </c>
    </row>
    <row r="4826" spans="1:10" ht="15" hidden="1" thickBot="1" x14ac:dyDescent="0.35">
      <c r="A4826" s="220" t="s">
        <v>1894</v>
      </c>
      <c r="B4826" s="233" t="e">
        <f>INDEX(#REF!,MATCH(Composições!A4826,#REF!,0),2)</f>
        <v>#REF!</v>
      </c>
      <c r="C4826" s="41"/>
      <c r="D4826" s="26" t="e">
        <f>TRIM(INDEX(#REF!,MATCH(Composições!A4826,#REF!,0),1))</f>
        <v>#REF!</v>
      </c>
      <c r="E4826" s="27"/>
      <c r="F4826" s="42" t="s">
        <v>560</v>
      </c>
      <c r="G4826" s="28" t="str">
        <f t="shared" si="82"/>
        <v/>
      </c>
      <c r="H4826" s="29"/>
      <c r="I4826" s="30"/>
      <c r="J4826" s="155">
        <v>0</v>
      </c>
    </row>
    <row r="4827" spans="1:10" ht="15" hidden="1" thickBot="1" x14ac:dyDescent="0.35">
      <c r="A4827" s="231"/>
      <c r="B4827" s="234"/>
      <c r="C4827" s="32"/>
      <c r="D4827" s="32"/>
      <c r="E4827" s="33"/>
      <c r="F4827" s="43" t="s">
        <v>560</v>
      </c>
      <c r="G4827" s="31" t="str">
        <f t="shared" si="82"/>
        <v/>
      </c>
      <c r="H4827" s="35"/>
      <c r="I4827" s="31"/>
      <c r="J4827" s="155">
        <v>0</v>
      </c>
    </row>
    <row r="4828" spans="1:10" ht="53.4" hidden="1" thickBot="1" x14ac:dyDescent="0.35">
      <c r="A4828" s="231"/>
      <c r="B4828" s="234"/>
      <c r="C4828" s="36" t="s">
        <v>2052</v>
      </c>
      <c r="D4828" s="47" t="s">
        <v>292</v>
      </c>
      <c r="E4828" s="37">
        <v>1</v>
      </c>
      <c r="F4828" s="34">
        <v>215.66200000000001</v>
      </c>
      <c r="G4828" s="34">
        <f t="shared" si="82"/>
        <v>215.66200000000001</v>
      </c>
      <c r="H4828" s="39">
        <f>SUM(G4828:G4830)</f>
        <v>249.854882</v>
      </c>
      <c r="I4828" s="40"/>
      <c r="J4828" s="155">
        <v>0</v>
      </c>
    </row>
    <row r="4829" spans="1:10" ht="15" hidden="1" thickBot="1" x14ac:dyDescent="0.35">
      <c r="A4829" s="231"/>
      <c r="B4829" s="234"/>
      <c r="C4829" s="36" t="s">
        <v>743</v>
      </c>
      <c r="D4829" s="47" t="s">
        <v>744</v>
      </c>
      <c r="E4829" s="37">
        <f>ROUND(1.546*0.8,4)</f>
        <v>1.2367999999999999</v>
      </c>
      <c r="F4829" s="31">
        <v>20.161999999999999</v>
      </c>
      <c r="G4829" s="34">
        <f t="shared" si="82"/>
        <v>24.936361599999998</v>
      </c>
      <c r="H4829" s="35"/>
      <c r="I4829" s="31"/>
      <c r="J4829" s="155">
        <v>0</v>
      </c>
    </row>
    <row r="4830" spans="1:10" ht="15" hidden="1" thickBot="1" x14ac:dyDescent="0.35">
      <c r="A4830" s="231"/>
      <c r="B4830" s="234"/>
      <c r="C4830" s="36" t="s">
        <v>745</v>
      </c>
      <c r="D4830" s="47" t="s">
        <v>744</v>
      </c>
      <c r="E4830" s="37">
        <f>ROUND(0.773*0.8,4)</f>
        <v>0.61839999999999995</v>
      </c>
      <c r="F4830" s="31">
        <v>14.968499999999999</v>
      </c>
      <c r="G4830" s="34">
        <f t="shared" si="82"/>
        <v>9.2565203999999977</v>
      </c>
      <c r="H4830" s="35"/>
      <c r="I4830" s="31"/>
      <c r="J4830" s="155">
        <v>0</v>
      </c>
    </row>
    <row r="4831" spans="1:10" ht="15" hidden="1" thickBot="1" x14ac:dyDescent="0.35">
      <c r="A4831" s="231"/>
      <c r="B4831" s="234"/>
      <c r="C4831" s="36"/>
      <c r="D4831" s="47"/>
      <c r="E4831" s="37"/>
      <c r="F4831" s="34" t="s">
        <v>560</v>
      </c>
      <c r="G4831" s="34" t="str">
        <f t="shared" si="82"/>
        <v/>
      </c>
      <c r="H4831" s="35"/>
      <c r="I4831" s="31"/>
      <c r="J4831" s="155">
        <v>0</v>
      </c>
    </row>
    <row r="4832" spans="1:10" ht="15" hidden="1" thickBot="1" x14ac:dyDescent="0.35">
      <c r="A4832" s="220" t="s">
        <v>1895</v>
      </c>
      <c r="B4832" s="233" t="e">
        <f>INDEX(#REF!,MATCH(Composições!A4832,#REF!,0),2)</f>
        <v>#REF!</v>
      </c>
      <c r="C4832" s="41"/>
      <c r="D4832" s="26" t="e">
        <f>TRIM(INDEX(#REF!,MATCH(Composições!A4832,#REF!,0),1))</f>
        <v>#REF!</v>
      </c>
      <c r="E4832" s="27"/>
      <c r="F4832" s="42" t="s">
        <v>560</v>
      </c>
      <c r="G4832" s="28" t="str">
        <f t="shared" si="82"/>
        <v/>
      </c>
      <c r="H4832" s="29"/>
      <c r="I4832" s="30"/>
      <c r="J4832" s="155">
        <v>0</v>
      </c>
    </row>
    <row r="4833" spans="1:10" ht="15" hidden="1" thickBot="1" x14ac:dyDescent="0.35">
      <c r="A4833" s="231"/>
      <c r="B4833" s="234"/>
      <c r="C4833" s="32"/>
      <c r="D4833" s="32"/>
      <c r="E4833" s="33"/>
      <c r="F4833" s="43" t="s">
        <v>560</v>
      </c>
      <c r="G4833" s="31" t="str">
        <f t="shared" si="82"/>
        <v/>
      </c>
      <c r="H4833" s="35"/>
      <c r="I4833" s="31"/>
      <c r="J4833" s="155">
        <v>0</v>
      </c>
    </row>
    <row r="4834" spans="1:10" ht="53.4" hidden="1" thickBot="1" x14ac:dyDescent="0.35">
      <c r="A4834" s="231"/>
      <c r="B4834" s="234"/>
      <c r="C4834" s="36" t="s">
        <v>2054</v>
      </c>
      <c r="D4834" s="47" t="s">
        <v>292</v>
      </c>
      <c r="E4834" s="37">
        <v>1</v>
      </c>
      <c r="F4834" s="34">
        <v>241.01750000000001</v>
      </c>
      <c r="G4834" s="34">
        <f t="shared" si="82"/>
        <v>241.01750000000001</v>
      </c>
      <c r="H4834" s="39">
        <f>SUM(G4834:G4836)</f>
        <v>278.12982599999998</v>
      </c>
      <c r="I4834" s="40"/>
      <c r="J4834" s="155">
        <v>0</v>
      </c>
    </row>
    <row r="4835" spans="1:10" ht="15" hidden="1" thickBot="1" x14ac:dyDescent="0.35">
      <c r="A4835" s="231"/>
      <c r="B4835" s="234"/>
      <c r="C4835" s="36" t="s">
        <v>743</v>
      </c>
      <c r="D4835" s="47" t="s">
        <v>744</v>
      </c>
      <c r="E4835" s="37">
        <f>ROUND(1.678*0.8,4)</f>
        <v>1.3424</v>
      </c>
      <c r="F4835" s="31">
        <v>20.161999999999999</v>
      </c>
      <c r="G4835" s="34">
        <f t="shared" si="82"/>
        <v>27.065468799999998</v>
      </c>
      <c r="H4835" s="35"/>
      <c r="I4835" s="31"/>
      <c r="J4835" s="155">
        <v>0</v>
      </c>
    </row>
    <row r="4836" spans="1:10" ht="15" hidden="1" thickBot="1" x14ac:dyDescent="0.35">
      <c r="A4836" s="231"/>
      <c r="B4836" s="234"/>
      <c r="C4836" s="36" t="s">
        <v>745</v>
      </c>
      <c r="D4836" s="47" t="s">
        <v>744</v>
      </c>
      <c r="E4836" s="37">
        <f>ROUND(0.839*0.8,4)</f>
        <v>0.67120000000000002</v>
      </c>
      <c r="F4836" s="31">
        <v>14.968499999999999</v>
      </c>
      <c r="G4836" s="34">
        <f t="shared" si="82"/>
        <v>10.0468572</v>
      </c>
      <c r="H4836" s="35"/>
      <c r="I4836" s="31"/>
      <c r="J4836" s="155">
        <v>0</v>
      </c>
    </row>
    <row r="4837" spans="1:10" ht="15" hidden="1" thickBot="1" x14ac:dyDescent="0.35">
      <c r="A4837" s="231"/>
      <c r="B4837" s="234"/>
      <c r="C4837" s="36"/>
      <c r="D4837" s="47"/>
      <c r="E4837" s="37"/>
      <c r="F4837" s="34" t="s">
        <v>560</v>
      </c>
      <c r="G4837" s="34" t="str">
        <f t="shared" si="82"/>
        <v/>
      </c>
      <c r="H4837" s="35"/>
      <c r="I4837" s="31"/>
      <c r="J4837" s="155">
        <v>0</v>
      </c>
    </row>
    <row r="4838" spans="1:10" ht="15" hidden="1" thickBot="1" x14ac:dyDescent="0.35">
      <c r="A4838" s="220" t="s">
        <v>1896</v>
      </c>
      <c r="B4838" s="233" t="e">
        <f>INDEX(#REF!,MATCH(Composições!A4838,#REF!,0),2)</f>
        <v>#REF!</v>
      </c>
      <c r="C4838" s="41"/>
      <c r="D4838" s="26" t="e">
        <f>TRIM(INDEX(#REF!,MATCH(Composições!A4838,#REF!,0),1))</f>
        <v>#REF!</v>
      </c>
      <c r="E4838" s="27"/>
      <c r="F4838" s="42" t="s">
        <v>560</v>
      </c>
      <c r="G4838" s="28" t="str">
        <f t="shared" si="82"/>
        <v/>
      </c>
      <c r="H4838" s="29"/>
      <c r="I4838" s="30"/>
      <c r="J4838" s="155">
        <v>0</v>
      </c>
    </row>
    <row r="4839" spans="1:10" ht="15" hidden="1" thickBot="1" x14ac:dyDescent="0.35">
      <c r="A4839" s="231"/>
      <c r="B4839" s="234"/>
      <c r="C4839" s="32"/>
      <c r="D4839" s="32"/>
      <c r="E4839" s="33"/>
      <c r="F4839" s="43" t="s">
        <v>560</v>
      </c>
      <c r="G4839" s="31" t="str">
        <f t="shared" si="82"/>
        <v/>
      </c>
      <c r="H4839" s="35"/>
      <c r="I4839" s="31"/>
      <c r="J4839" s="155">
        <v>0</v>
      </c>
    </row>
    <row r="4840" spans="1:10" ht="27" hidden="1" thickBot="1" x14ac:dyDescent="0.35">
      <c r="A4840" s="231"/>
      <c r="B4840" s="234"/>
      <c r="C4840" s="36" t="s">
        <v>994</v>
      </c>
      <c r="D4840" s="47" t="s">
        <v>744</v>
      </c>
      <c r="E4840" s="37">
        <f>4*0.3</f>
        <v>1.2</v>
      </c>
      <c r="F4840" s="31">
        <v>15.4955</v>
      </c>
      <c r="G4840" s="31">
        <f t="shared" si="82"/>
        <v>18.5946</v>
      </c>
      <c r="H4840" s="39">
        <f>SUM(G4840:G4843)</f>
        <v>64.32119999999999</v>
      </c>
      <c r="I4840" s="40"/>
      <c r="J4840" s="155">
        <v>0</v>
      </c>
    </row>
    <row r="4841" spans="1:10" ht="27" hidden="1" thickBot="1" x14ac:dyDescent="0.35">
      <c r="A4841" s="231"/>
      <c r="B4841" s="234"/>
      <c r="C4841" s="36" t="s">
        <v>995</v>
      </c>
      <c r="D4841" s="36" t="s">
        <v>744</v>
      </c>
      <c r="E4841" s="37">
        <f>4*0.3</f>
        <v>1.2</v>
      </c>
      <c r="F4841" s="31">
        <v>19.898499999999999</v>
      </c>
      <c r="G4841" s="31">
        <f t="shared" si="82"/>
        <v>23.878199999999996</v>
      </c>
      <c r="H4841" s="45"/>
      <c r="I4841" s="46"/>
      <c r="J4841" s="155">
        <v>0</v>
      </c>
    </row>
    <row r="4842" spans="1:10" ht="15" hidden="1" thickBot="1" x14ac:dyDescent="0.35">
      <c r="A4842" s="231"/>
      <c r="B4842" s="234"/>
      <c r="C4842" s="36" t="s">
        <v>74</v>
      </c>
      <c r="D4842" s="47" t="s">
        <v>744</v>
      </c>
      <c r="E4842" s="37">
        <f>2*0.3</f>
        <v>0.6</v>
      </c>
      <c r="F4842" s="31">
        <v>15.928999999999998</v>
      </c>
      <c r="G4842" s="31">
        <f t="shared" si="82"/>
        <v>9.5573999999999995</v>
      </c>
      <c r="H4842" s="35"/>
      <c r="I4842" s="31"/>
      <c r="J4842" s="155">
        <v>0</v>
      </c>
    </row>
    <row r="4843" spans="1:10" ht="15" hidden="1" thickBot="1" x14ac:dyDescent="0.35">
      <c r="A4843" s="231"/>
      <c r="B4843" s="234"/>
      <c r="C4843" s="36" t="s">
        <v>30</v>
      </c>
      <c r="D4843" s="36" t="s">
        <v>744</v>
      </c>
      <c r="E4843" s="37">
        <f>2*0.3</f>
        <v>0.6</v>
      </c>
      <c r="F4843" s="31">
        <v>20.484999999999999</v>
      </c>
      <c r="G4843" s="31">
        <f t="shared" si="82"/>
        <v>12.290999999999999</v>
      </c>
      <c r="H4843" s="35"/>
      <c r="I4843" s="31"/>
      <c r="J4843" s="155">
        <v>0</v>
      </c>
    </row>
    <row r="4844" spans="1:10" ht="15" hidden="1" thickBot="1" x14ac:dyDescent="0.35">
      <c r="A4844" s="232"/>
      <c r="B4844" s="235"/>
      <c r="C4844" s="36"/>
      <c r="D4844" s="36"/>
      <c r="E4844" s="37"/>
      <c r="F4844" s="31" t="s">
        <v>560</v>
      </c>
      <c r="G4844" s="31" t="str">
        <f t="shared" si="82"/>
        <v/>
      </c>
      <c r="H4844" s="35"/>
      <c r="I4844" s="31"/>
      <c r="J4844" s="155">
        <v>0</v>
      </c>
    </row>
    <row r="4845" spans="1:10" ht="15" hidden="1" thickBot="1" x14ac:dyDescent="0.35">
      <c r="A4845" s="226" t="s">
        <v>1897</v>
      </c>
      <c r="B4845" s="223" t="e">
        <f>INDEX(#REF!,MATCH(Composições!A4845,#REF!,0),2)</f>
        <v>#REF!</v>
      </c>
      <c r="C4845" s="41"/>
      <c r="D4845" s="26" t="e">
        <f>TRIM(INDEX(#REF!,MATCH(Composições!A4845,#REF!,0),1))</f>
        <v>#REF!</v>
      </c>
      <c r="E4845" s="27"/>
      <c r="F4845" s="42" t="s">
        <v>560</v>
      </c>
      <c r="G4845" s="28" t="str">
        <f t="shared" si="82"/>
        <v/>
      </c>
      <c r="H4845" s="29"/>
      <c r="I4845" s="30"/>
      <c r="J4845" s="155">
        <v>0</v>
      </c>
    </row>
    <row r="4846" spans="1:10" ht="15" hidden="1" thickBot="1" x14ac:dyDescent="0.35">
      <c r="A4846" s="229"/>
      <c r="B4846" s="224"/>
      <c r="C4846" s="32"/>
      <c r="D4846" s="32"/>
      <c r="E4846" s="33"/>
      <c r="F4846" s="43" t="s">
        <v>560</v>
      </c>
      <c r="G4846" s="31" t="str">
        <f t="shared" si="82"/>
        <v/>
      </c>
      <c r="H4846" s="35"/>
      <c r="I4846" s="31"/>
      <c r="J4846" s="155">
        <v>0</v>
      </c>
    </row>
    <row r="4847" spans="1:10" ht="15" hidden="1" thickBot="1" x14ac:dyDescent="0.35">
      <c r="A4847" s="229"/>
      <c r="B4847" s="224"/>
      <c r="C4847" s="36" t="s">
        <v>743</v>
      </c>
      <c r="D4847" s="36" t="s">
        <v>744</v>
      </c>
      <c r="E4847" s="37">
        <v>0.12</v>
      </c>
      <c r="F4847" s="34">
        <v>20.161999999999999</v>
      </c>
      <c r="G4847" s="34">
        <f t="shared" si="82"/>
        <v>2.4194399999999998</v>
      </c>
      <c r="H4847" s="39">
        <f>SUM(G4847:G4848)</f>
        <v>22.778640000000003</v>
      </c>
      <c r="I4847" s="40"/>
      <c r="J4847" s="155">
        <v>0</v>
      </c>
    </row>
    <row r="4848" spans="1:10" ht="15" hidden="1" thickBot="1" x14ac:dyDescent="0.35">
      <c r="A4848" s="229"/>
      <c r="B4848" s="224"/>
      <c r="C4848" s="36" t="s">
        <v>827</v>
      </c>
      <c r="D4848" s="36" t="s">
        <v>744</v>
      </c>
      <c r="E4848" s="37">
        <v>1.2</v>
      </c>
      <c r="F4848" s="34">
        <v>16.966000000000001</v>
      </c>
      <c r="G4848" s="34">
        <f t="shared" si="82"/>
        <v>20.359200000000001</v>
      </c>
      <c r="H4848" s="45"/>
      <c r="I4848" s="46"/>
      <c r="J4848" s="155">
        <v>0</v>
      </c>
    </row>
    <row r="4849" spans="1:10" ht="15" hidden="1" thickBot="1" x14ac:dyDescent="0.35">
      <c r="A4849" s="230"/>
      <c r="B4849" s="225"/>
      <c r="C4849" s="36"/>
      <c r="D4849" s="36"/>
      <c r="E4849" s="37"/>
      <c r="F4849" s="31" t="s">
        <v>560</v>
      </c>
      <c r="G4849" s="31" t="str">
        <f t="shared" si="82"/>
        <v/>
      </c>
      <c r="H4849" s="35"/>
      <c r="I4849" s="31"/>
      <c r="J4849" s="155">
        <v>0</v>
      </c>
    </row>
    <row r="4850" spans="1:10" ht="15" hidden="1" thickBot="1" x14ac:dyDescent="0.35">
      <c r="A4850" s="226" t="s">
        <v>1898</v>
      </c>
      <c r="B4850" s="223" t="e">
        <f>INDEX(#REF!,MATCH(Composições!A4850,#REF!,0),2)</f>
        <v>#REF!</v>
      </c>
      <c r="C4850" s="41"/>
      <c r="D4850" s="26" t="e">
        <f>TRIM(INDEX(#REF!,MATCH(Composições!A4850,#REF!,0),1))</f>
        <v>#REF!</v>
      </c>
      <c r="E4850" s="27"/>
      <c r="F4850" s="49" t="s">
        <v>560</v>
      </c>
      <c r="G4850" s="28" t="str">
        <f t="shared" ref="G4850:G4913" si="84">IF(ISNUMBER(F4850),E4850*F4850,"")</f>
        <v/>
      </c>
      <c r="H4850" s="29"/>
      <c r="I4850" s="30"/>
      <c r="J4850" s="155">
        <v>0</v>
      </c>
    </row>
    <row r="4851" spans="1:10" ht="15" hidden="1" thickBot="1" x14ac:dyDescent="0.35">
      <c r="A4851" s="227"/>
      <c r="B4851" s="224"/>
      <c r="C4851" s="32"/>
      <c r="D4851" s="32"/>
      <c r="E4851" s="33"/>
      <c r="F4851" s="54" t="s">
        <v>560</v>
      </c>
      <c r="G4851" s="54" t="str">
        <f t="shared" si="84"/>
        <v/>
      </c>
      <c r="H4851" s="73"/>
      <c r="I4851" s="74"/>
      <c r="J4851" s="155">
        <v>0</v>
      </c>
    </row>
    <row r="4852" spans="1:10" ht="27" hidden="1" thickBot="1" x14ac:dyDescent="0.35">
      <c r="A4852" s="227"/>
      <c r="B4852" s="224"/>
      <c r="C4852" s="36" t="s">
        <v>1971</v>
      </c>
      <c r="D4852" s="36" t="s">
        <v>95</v>
      </c>
      <c r="E4852" s="37">
        <v>1.08</v>
      </c>
      <c r="F4852" s="54" t="s">
        <v>560</v>
      </c>
      <c r="G4852" s="54" t="str">
        <f t="shared" si="84"/>
        <v/>
      </c>
      <c r="H4852" s="39">
        <f>SUM(G4852:G4856)</f>
        <v>23.577129999999997</v>
      </c>
      <c r="I4852" s="40"/>
      <c r="J4852" s="155">
        <v>0</v>
      </c>
    </row>
    <row r="4853" spans="1:10" ht="15" hidden="1" thickBot="1" x14ac:dyDescent="0.35">
      <c r="A4853" s="227"/>
      <c r="B4853" s="224"/>
      <c r="C4853" s="36" t="s">
        <v>1934</v>
      </c>
      <c r="D4853" s="36" t="s">
        <v>42</v>
      </c>
      <c r="E4853" s="37">
        <v>6.14</v>
      </c>
      <c r="F4853" s="54">
        <v>0.7054999999999999</v>
      </c>
      <c r="G4853" s="54">
        <f t="shared" si="84"/>
        <v>4.3317699999999988</v>
      </c>
      <c r="H4853" s="73"/>
      <c r="I4853" s="74"/>
      <c r="J4853" s="155">
        <v>0</v>
      </c>
    </row>
    <row r="4854" spans="1:10" ht="15" hidden="1" thickBot="1" x14ac:dyDescent="0.35">
      <c r="A4854" s="227"/>
      <c r="B4854" s="224"/>
      <c r="C4854" s="36" t="s">
        <v>1932</v>
      </c>
      <c r="D4854" s="36" t="s">
        <v>42</v>
      </c>
      <c r="E4854" s="37">
        <v>0.22</v>
      </c>
      <c r="F4854" s="54">
        <v>2.2440000000000002</v>
      </c>
      <c r="G4854" s="54">
        <f t="shared" si="84"/>
        <v>0.49368000000000006</v>
      </c>
      <c r="H4854" s="73"/>
      <c r="I4854" s="74"/>
      <c r="J4854" s="155">
        <v>0</v>
      </c>
    </row>
    <row r="4855" spans="1:10" ht="15" hidden="1" thickBot="1" x14ac:dyDescent="0.35">
      <c r="A4855" s="227"/>
      <c r="B4855" s="224"/>
      <c r="C4855" s="36" t="s">
        <v>36</v>
      </c>
      <c r="D4855" s="36" t="s">
        <v>12</v>
      </c>
      <c r="E4855" s="37">
        <v>0.66</v>
      </c>
      <c r="F4855" s="54">
        <v>20.247</v>
      </c>
      <c r="G4855" s="54">
        <f t="shared" si="84"/>
        <v>13.363020000000001</v>
      </c>
      <c r="H4855" s="73"/>
      <c r="I4855" s="74"/>
      <c r="J4855" s="155">
        <v>0</v>
      </c>
    </row>
    <row r="4856" spans="1:10" ht="15" hidden="1" thickBot="1" x14ac:dyDescent="0.35">
      <c r="A4856" s="227"/>
      <c r="B4856" s="224"/>
      <c r="C4856" s="36" t="s">
        <v>23</v>
      </c>
      <c r="D4856" s="36" t="s">
        <v>12</v>
      </c>
      <c r="E4856" s="37">
        <v>0.36</v>
      </c>
      <c r="F4856" s="54">
        <v>14.968499999999999</v>
      </c>
      <c r="G4856" s="54">
        <f t="shared" si="84"/>
        <v>5.3886599999999998</v>
      </c>
      <c r="H4856" s="73"/>
      <c r="I4856" s="74"/>
      <c r="J4856" s="155">
        <v>0</v>
      </c>
    </row>
    <row r="4857" spans="1:10" ht="15" hidden="1" thickBot="1" x14ac:dyDescent="0.35">
      <c r="A4857" s="227"/>
      <c r="B4857" s="224"/>
      <c r="C4857" s="36"/>
      <c r="D4857" s="47"/>
      <c r="E4857" s="37"/>
      <c r="F4857" s="54" t="s">
        <v>560</v>
      </c>
      <c r="G4857" s="54" t="str">
        <f t="shared" si="84"/>
        <v/>
      </c>
      <c r="H4857" s="73"/>
      <c r="I4857" s="74"/>
      <c r="J4857" s="155">
        <v>0</v>
      </c>
    </row>
    <row r="4858" spans="1:10" ht="15" hidden="1" thickBot="1" x14ac:dyDescent="0.35">
      <c r="A4858" s="220" t="s">
        <v>1899</v>
      </c>
      <c r="B4858" s="233" t="e">
        <f>INDEX(#REF!,MATCH(Composições!A4858,#REF!,0),2)</f>
        <v>#REF!</v>
      </c>
      <c r="C4858" s="41"/>
      <c r="D4858" s="26" t="e">
        <f>TRIM(INDEX(#REF!,MATCH(Composições!A4858,#REF!,0),1))</f>
        <v>#REF!</v>
      </c>
      <c r="E4858" s="27"/>
      <c r="F4858" s="42" t="s">
        <v>560</v>
      </c>
      <c r="G4858" s="28" t="str">
        <f t="shared" si="84"/>
        <v/>
      </c>
      <c r="H4858" s="29"/>
      <c r="I4858" s="30"/>
      <c r="J4858" s="155">
        <v>0</v>
      </c>
    </row>
    <row r="4859" spans="1:10" ht="15" hidden="1" thickBot="1" x14ac:dyDescent="0.35">
      <c r="A4859" s="231"/>
      <c r="B4859" s="234"/>
      <c r="C4859" s="32"/>
      <c r="D4859" s="32"/>
      <c r="E4859" s="33"/>
      <c r="F4859" s="43" t="s">
        <v>560</v>
      </c>
      <c r="G4859" s="31" t="str">
        <f t="shared" si="84"/>
        <v/>
      </c>
      <c r="H4859" s="35"/>
      <c r="I4859" s="31"/>
      <c r="J4859" s="155">
        <v>0</v>
      </c>
    </row>
    <row r="4860" spans="1:10" ht="15" hidden="1" thickBot="1" x14ac:dyDescent="0.35">
      <c r="A4860" s="231"/>
      <c r="B4860" s="234"/>
      <c r="C4860" s="36" t="s">
        <v>1294</v>
      </c>
      <c r="D4860" s="36" t="s">
        <v>103</v>
      </c>
      <c r="E4860" s="37">
        <v>0.57499999999999996</v>
      </c>
      <c r="F4860" s="34">
        <v>15.657000000000002</v>
      </c>
      <c r="G4860" s="34">
        <f t="shared" si="84"/>
        <v>9.0027749999999997</v>
      </c>
      <c r="H4860" s="39">
        <f>SUM(G4860:G4862)</f>
        <v>26.14349335</v>
      </c>
      <c r="I4860" s="40"/>
      <c r="J4860" s="155">
        <v>0</v>
      </c>
    </row>
    <row r="4861" spans="1:10" ht="15" hidden="1" thickBot="1" x14ac:dyDescent="0.35">
      <c r="A4861" s="231"/>
      <c r="B4861" s="234"/>
      <c r="C4861" s="36" t="s">
        <v>745</v>
      </c>
      <c r="D4861" s="36" t="s">
        <v>744</v>
      </c>
      <c r="E4861" s="37">
        <v>0.2399</v>
      </c>
      <c r="F4861" s="34">
        <v>14.968499999999999</v>
      </c>
      <c r="G4861" s="34">
        <f t="shared" si="84"/>
        <v>3.5909431499999998</v>
      </c>
      <c r="H4861" s="45"/>
      <c r="I4861" s="46"/>
      <c r="J4861" s="155">
        <v>0</v>
      </c>
    </row>
    <row r="4862" spans="1:10" ht="15" hidden="1" thickBot="1" x14ac:dyDescent="0.35">
      <c r="A4862" s="231"/>
      <c r="B4862" s="234"/>
      <c r="C4862" s="36" t="s">
        <v>1272</v>
      </c>
      <c r="D4862" s="47" t="s">
        <v>744</v>
      </c>
      <c r="E4862" s="37">
        <v>0.57589999999999997</v>
      </c>
      <c r="F4862" s="31">
        <v>23.527999999999999</v>
      </c>
      <c r="G4862" s="31">
        <f t="shared" si="84"/>
        <v>13.549775199999999</v>
      </c>
      <c r="H4862" s="35"/>
      <c r="I4862" s="31"/>
      <c r="J4862" s="155">
        <v>0</v>
      </c>
    </row>
    <row r="4863" spans="1:10" ht="15" hidden="1" thickBot="1" x14ac:dyDescent="0.35">
      <c r="A4863" s="232"/>
      <c r="B4863" s="235"/>
      <c r="C4863" s="36"/>
      <c r="D4863" s="36"/>
      <c r="E4863" s="37"/>
      <c r="F4863" s="31" t="s">
        <v>560</v>
      </c>
      <c r="G4863" s="31" t="str">
        <f t="shared" si="84"/>
        <v/>
      </c>
      <c r="H4863" s="35"/>
      <c r="I4863" s="31"/>
      <c r="J4863" s="155">
        <v>0</v>
      </c>
    </row>
    <row r="4864" spans="1:10" ht="15" hidden="1" thickBot="1" x14ac:dyDescent="0.35">
      <c r="A4864" s="220" t="s">
        <v>1900</v>
      </c>
      <c r="B4864" s="233" t="e">
        <f>INDEX(#REF!,MATCH(Composições!A4864,#REF!,0),2)</f>
        <v>#REF!</v>
      </c>
      <c r="C4864" s="41"/>
      <c r="D4864" s="26" t="e">
        <f>TRIM(INDEX(#REF!,MATCH(Composições!A4864,#REF!,0),1))</f>
        <v>#REF!</v>
      </c>
      <c r="E4864" s="27"/>
      <c r="F4864" s="42" t="s">
        <v>560</v>
      </c>
      <c r="G4864" s="28" t="str">
        <f t="shared" si="84"/>
        <v/>
      </c>
      <c r="H4864" s="29"/>
      <c r="I4864" s="30"/>
      <c r="J4864" s="155">
        <v>0</v>
      </c>
    </row>
    <row r="4865" spans="1:10" ht="15" hidden="1" thickBot="1" x14ac:dyDescent="0.35">
      <c r="A4865" s="231"/>
      <c r="B4865" s="234"/>
      <c r="C4865" s="32"/>
      <c r="D4865" s="32"/>
      <c r="E4865" s="33"/>
      <c r="F4865" s="43" t="s">
        <v>560</v>
      </c>
      <c r="G4865" s="31" t="str">
        <f t="shared" si="84"/>
        <v/>
      </c>
      <c r="H4865" s="35"/>
      <c r="I4865" s="31"/>
      <c r="J4865" s="155">
        <v>0</v>
      </c>
    </row>
    <row r="4866" spans="1:10" ht="15" hidden="1" thickBot="1" x14ac:dyDescent="0.35">
      <c r="A4866" s="231"/>
      <c r="B4866" s="234"/>
      <c r="C4866" s="36" t="s">
        <v>1449</v>
      </c>
      <c r="D4866" s="36" t="s">
        <v>744</v>
      </c>
      <c r="E4866" s="37">
        <v>0.5</v>
      </c>
      <c r="F4866" s="34">
        <v>17.815999999999999</v>
      </c>
      <c r="G4866" s="34">
        <f t="shared" si="84"/>
        <v>8.9079999999999995</v>
      </c>
      <c r="H4866" s="39">
        <f>SUM(G4866:G4866)</f>
        <v>8.9079999999999995</v>
      </c>
      <c r="I4866" s="40"/>
      <c r="J4866" s="155">
        <v>0</v>
      </c>
    </row>
    <row r="4867" spans="1:10" ht="15" hidden="1" thickBot="1" x14ac:dyDescent="0.35">
      <c r="A4867" s="232"/>
      <c r="B4867" s="235"/>
      <c r="C4867" s="36"/>
      <c r="D4867" s="36"/>
      <c r="E4867" s="37"/>
      <c r="F4867" s="31" t="s">
        <v>560</v>
      </c>
      <c r="G4867" s="31" t="str">
        <f t="shared" si="84"/>
        <v/>
      </c>
      <c r="H4867" s="35"/>
      <c r="I4867" s="31"/>
      <c r="J4867" s="155">
        <v>0</v>
      </c>
    </row>
    <row r="4868" spans="1:10" ht="15" hidden="1" thickBot="1" x14ac:dyDescent="0.35">
      <c r="A4868" s="220" t="s">
        <v>1901</v>
      </c>
      <c r="B4868" s="233" t="e">
        <f>INDEX(#REF!,MATCH(Composições!A4868,#REF!,0),2)</f>
        <v>#REF!</v>
      </c>
      <c r="C4868" s="41"/>
      <c r="D4868" s="26" t="e">
        <f>TRIM(INDEX(#REF!,MATCH(Composições!A4868,#REF!,0),1))</f>
        <v>#REF!</v>
      </c>
      <c r="E4868" s="27"/>
      <c r="F4868" s="42" t="s">
        <v>560</v>
      </c>
      <c r="G4868" s="28" t="str">
        <f t="shared" si="84"/>
        <v/>
      </c>
      <c r="H4868" s="29"/>
      <c r="I4868" s="30"/>
      <c r="J4868" s="155">
        <v>0</v>
      </c>
    </row>
    <row r="4869" spans="1:10" ht="15" hidden="1" thickBot="1" x14ac:dyDescent="0.35">
      <c r="A4869" s="231"/>
      <c r="B4869" s="234"/>
      <c r="C4869" s="32"/>
      <c r="D4869" s="32"/>
      <c r="E4869" s="33"/>
      <c r="F4869" s="43" t="s">
        <v>560</v>
      </c>
      <c r="G4869" s="31" t="str">
        <f t="shared" si="84"/>
        <v/>
      </c>
      <c r="H4869" s="35"/>
      <c r="I4869" s="31"/>
      <c r="J4869" s="155">
        <v>0</v>
      </c>
    </row>
    <row r="4870" spans="1:10" ht="15" hidden="1" thickBot="1" x14ac:dyDescent="0.35">
      <c r="A4870" s="231"/>
      <c r="B4870" s="234"/>
      <c r="C4870" s="36" t="s">
        <v>1859</v>
      </c>
      <c r="D4870" s="36" t="s">
        <v>515</v>
      </c>
      <c r="E4870" s="37">
        <v>1.0609999999999999</v>
      </c>
      <c r="F4870" s="34">
        <v>9.52</v>
      </c>
      <c r="G4870" s="34">
        <f t="shared" si="84"/>
        <v>10.100719999999999</v>
      </c>
      <c r="H4870" s="39">
        <f>SUM(G4870:G4872)</f>
        <v>22.099285999999999</v>
      </c>
      <c r="I4870" s="40"/>
      <c r="J4870" s="155">
        <v>0</v>
      </c>
    </row>
    <row r="4871" spans="1:10" ht="27" hidden="1" thickBot="1" x14ac:dyDescent="0.35">
      <c r="A4871" s="231"/>
      <c r="B4871" s="234"/>
      <c r="C4871" s="36" t="s">
        <v>994</v>
      </c>
      <c r="D4871" s="36" t="s">
        <v>744</v>
      </c>
      <c r="E4871" s="37">
        <v>0.33900000000000002</v>
      </c>
      <c r="F4871" s="34">
        <v>15.4955</v>
      </c>
      <c r="G4871" s="34">
        <f t="shared" si="84"/>
        <v>5.2529745000000005</v>
      </c>
      <c r="H4871" s="45"/>
      <c r="I4871" s="46"/>
      <c r="J4871" s="155">
        <v>0</v>
      </c>
    </row>
    <row r="4872" spans="1:10" ht="27" hidden="1" thickBot="1" x14ac:dyDescent="0.35">
      <c r="A4872" s="231"/>
      <c r="B4872" s="234"/>
      <c r="C4872" s="36" t="s">
        <v>995</v>
      </c>
      <c r="D4872" s="47" t="s">
        <v>744</v>
      </c>
      <c r="E4872" s="37">
        <v>0.33900000000000002</v>
      </c>
      <c r="F4872" s="31">
        <v>19.898499999999999</v>
      </c>
      <c r="G4872" s="31">
        <f t="shared" si="84"/>
        <v>6.7455914999999997</v>
      </c>
      <c r="H4872" s="35"/>
      <c r="I4872" s="31"/>
      <c r="J4872" s="155">
        <v>0</v>
      </c>
    </row>
    <row r="4873" spans="1:10" ht="15" hidden="1" thickBot="1" x14ac:dyDescent="0.35">
      <c r="A4873" s="232"/>
      <c r="B4873" s="235"/>
      <c r="C4873" s="36"/>
      <c r="D4873" s="36"/>
      <c r="E4873" s="37"/>
      <c r="F4873" s="31" t="s">
        <v>560</v>
      </c>
      <c r="G4873" s="31" t="str">
        <f t="shared" si="84"/>
        <v/>
      </c>
      <c r="H4873" s="35"/>
      <c r="I4873" s="31"/>
      <c r="J4873" s="155">
        <v>0</v>
      </c>
    </row>
    <row r="4874" spans="1:10" ht="15" hidden="1" thickBot="1" x14ac:dyDescent="0.35">
      <c r="A4874" s="220" t="s">
        <v>1902</v>
      </c>
      <c r="B4874" s="233" t="e">
        <f>INDEX(#REF!,MATCH(Composições!A4874,#REF!,0),2)</f>
        <v>#REF!</v>
      </c>
      <c r="C4874" s="41"/>
      <c r="D4874" s="26" t="e">
        <f>TRIM(INDEX(#REF!,MATCH(Composições!A4874,#REF!,0),1))</f>
        <v>#REF!</v>
      </c>
      <c r="E4874" s="27"/>
      <c r="F4874" s="42" t="s">
        <v>560</v>
      </c>
      <c r="G4874" s="28" t="str">
        <f t="shared" si="84"/>
        <v/>
      </c>
      <c r="H4874" s="29"/>
      <c r="I4874" s="30"/>
      <c r="J4874" s="155">
        <v>0</v>
      </c>
    </row>
    <row r="4875" spans="1:10" ht="15" hidden="1" thickBot="1" x14ac:dyDescent="0.35">
      <c r="A4875" s="231"/>
      <c r="B4875" s="234"/>
      <c r="C4875" s="32"/>
      <c r="D4875" s="32"/>
      <c r="E4875" s="33"/>
      <c r="F4875" s="43" t="s">
        <v>560</v>
      </c>
      <c r="G4875" s="31" t="str">
        <f t="shared" si="84"/>
        <v/>
      </c>
      <c r="H4875" s="35"/>
      <c r="I4875" s="31"/>
      <c r="J4875" s="155">
        <v>0</v>
      </c>
    </row>
    <row r="4876" spans="1:10" ht="15" hidden="1" thickBot="1" x14ac:dyDescent="0.35">
      <c r="A4876" s="231"/>
      <c r="B4876" s="234"/>
      <c r="C4876" s="36" t="s">
        <v>1860</v>
      </c>
      <c r="D4876" s="36" t="s">
        <v>515</v>
      </c>
      <c r="E4876" s="37">
        <v>1.0609999999999999</v>
      </c>
      <c r="F4876" s="34">
        <v>15.282999999999999</v>
      </c>
      <c r="G4876" s="34">
        <f t="shared" si="84"/>
        <v>16.215263</v>
      </c>
      <c r="H4876" s="39">
        <f>SUM(G4876:G4878)</f>
        <v>30.372862999999999</v>
      </c>
      <c r="I4876" s="40"/>
      <c r="J4876" s="155">
        <v>0</v>
      </c>
    </row>
    <row r="4877" spans="1:10" ht="27" hidden="1" thickBot="1" x14ac:dyDescent="0.35">
      <c r="A4877" s="231"/>
      <c r="B4877" s="234"/>
      <c r="C4877" s="36" t="s">
        <v>994</v>
      </c>
      <c r="D4877" s="36" t="s">
        <v>744</v>
      </c>
      <c r="E4877" s="37">
        <v>0.4</v>
      </c>
      <c r="F4877" s="34">
        <v>15.4955</v>
      </c>
      <c r="G4877" s="34">
        <f t="shared" si="84"/>
        <v>6.1981999999999999</v>
      </c>
      <c r="H4877" s="45"/>
      <c r="I4877" s="46"/>
      <c r="J4877" s="155">
        <v>0</v>
      </c>
    </row>
    <row r="4878" spans="1:10" ht="27" hidden="1" thickBot="1" x14ac:dyDescent="0.35">
      <c r="A4878" s="231"/>
      <c r="B4878" s="234"/>
      <c r="C4878" s="36" t="s">
        <v>995</v>
      </c>
      <c r="D4878" s="47" t="s">
        <v>744</v>
      </c>
      <c r="E4878" s="37">
        <v>0.4</v>
      </c>
      <c r="F4878" s="31">
        <v>19.898499999999999</v>
      </c>
      <c r="G4878" s="31">
        <f t="shared" si="84"/>
        <v>7.9593999999999996</v>
      </c>
      <c r="H4878" s="35"/>
      <c r="I4878" s="31"/>
      <c r="J4878" s="155">
        <v>0</v>
      </c>
    </row>
    <row r="4879" spans="1:10" ht="15" hidden="1" thickBot="1" x14ac:dyDescent="0.35">
      <c r="A4879" s="232"/>
      <c r="B4879" s="235"/>
      <c r="C4879" s="36"/>
      <c r="D4879" s="36"/>
      <c r="E4879" s="37"/>
      <c r="F4879" s="31" t="s">
        <v>560</v>
      </c>
      <c r="G4879" s="31" t="str">
        <f t="shared" si="84"/>
        <v/>
      </c>
      <c r="H4879" s="35"/>
      <c r="I4879" s="31"/>
      <c r="J4879" s="155">
        <v>0</v>
      </c>
    </row>
    <row r="4880" spans="1:10" ht="15" hidden="1" thickBot="1" x14ac:dyDescent="0.35">
      <c r="A4880" s="226" t="s">
        <v>1903</v>
      </c>
      <c r="B4880" s="223" t="e">
        <f>INDEX(#REF!,MATCH(Composições!A4880,#REF!,0),2)</f>
        <v>#REF!</v>
      </c>
      <c r="C4880" s="41"/>
      <c r="D4880" s="26" t="e">
        <f>TRIM(INDEX(#REF!,MATCH(Composições!A4880,#REF!,0),1))</f>
        <v>#REF!</v>
      </c>
      <c r="E4880" s="27"/>
      <c r="F4880" s="42" t="s">
        <v>560</v>
      </c>
      <c r="G4880" s="28" t="str">
        <f t="shared" si="84"/>
        <v/>
      </c>
      <c r="H4880" s="29"/>
      <c r="I4880" s="30"/>
      <c r="J4880" s="155">
        <v>0</v>
      </c>
    </row>
    <row r="4881" spans="1:10" ht="15" hidden="1" thickBot="1" x14ac:dyDescent="0.35">
      <c r="A4881" s="229"/>
      <c r="B4881" s="224"/>
      <c r="C4881" s="32"/>
      <c r="D4881" s="32"/>
      <c r="E4881" s="33"/>
      <c r="F4881" s="43" t="s">
        <v>560</v>
      </c>
      <c r="G4881" s="31" t="str">
        <f t="shared" si="84"/>
        <v/>
      </c>
      <c r="H4881" s="35"/>
      <c r="I4881" s="31"/>
      <c r="J4881" s="155">
        <v>0</v>
      </c>
    </row>
    <row r="4882" spans="1:10" ht="27" hidden="1" thickBot="1" x14ac:dyDescent="0.35">
      <c r="A4882" s="229"/>
      <c r="B4882" s="224"/>
      <c r="C4882" s="36" t="s">
        <v>355</v>
      </c>
      <c r="D4882" s="47" t="s">
        <v>292</v>
      </c>
      <c r="E4882" s="37">
        <v>2</v>
      </c>
      <c r="F4882" s="34">
        <v>12.622499999999999</v>
      </c>
      <c r="G4882" s="34">
        <f t="shared" si="84"/>
        <v>25.244999999999997</v>
      </c>
      <c r="H4882" s="39">
        <f>SUM(G4882:G4885)</f>
        <v>44.529415799999995</v>
      </c>
      <c r="I4882" s="40"/>
      <c r="J4882" s="155">
        <v>0</v>
      </c>
    </row>
    <row r="4883" spans="1:10" ht="15" hidden="1" thickBot="1" x14ac:dyDescent="0.35">
      <c r="A4883" s="229"/>
      <c r="B4883" s="224"/>
      <c r="C4883" s="36" t="s">
        <v>1935</v>
      </c>
      <c r="D4883" s="47" t="s">
        <v>42</v>
      </c>
      <c r="E4883" s="37">
        <v>8.8099999999999998E-2</v>
      </c>
      <c r="F4883" s="34">
        <v>47.302499999999995</v>
      </c>
      <c r="G4883" s="34">
        <f t="shared" si="84"/>
        <v>4.1673502499999993</v>
      </c>
      <c r="H4883" s="35"/>
      <c r="I4883" s="31"/>
      <c r="J4883" s="155">
        <v>0</v>
      </c>
    </row>
    <row r="4884" spans="1:10" ht="15" hidden="1" thickBot="1" x14ac:dyDescent="0.35">
      <c r="A4884" s="229"/>
      <c r="B4884" s="224"/>
      <c r="C4884" s="36" t="s">
        <v>39</v>
      </c>
      <c r="D4884" s="47" t="s">
        <v>12</v>
      </c>
      <c r="E4884" s="37">
        <v>0.49680000000000002</v>
      </c>
      <c r="F4884" s="31">
        <v>19.898499999999999</v>
      </c>
      <c r="G4884" s="34">
        <f t="shared" si="84"/>
        <v>9.8855747999999988</v>
      </c>
      <c r="H4884" s="35"/>
      <c r="I4884" s="31"/>
      <c r="J4884" s="155">
        <v>0</v>
      </c>
    </row>
    <row r="4885" spans="1:10" ht="15" hidden="1" thickBot="1" x14ac:dyDescent="0.35">
      <c r="A4885" s="229"/>
      <c r="B4885" s="224"/>
      <c r="C4885" s="36" t="s">
        <v>23</v>
      </c>
      <c r="D4885" s="47" t="s">
        <v>12</v>
      </c>
      <c r="E4885" s="37">
        <v>0.34949999999999998</v>
      </c>
      <c r="F4885" s="31">
        <v>14.968499999999999</v>
      </c>
      <c r="G4885" s="34">
        <f t="shared" si="84"/>
        <v>5.231490749999999</v>
      </c>
      <c r="H4885" s="35"/>
      <c r="I4885" s="31"/>
      <c r="J4885" s="155">
        <v>0</v>
      </c>
    </row>
    <row r="4886" spans="1:10" ht="15" hidden="1" thickBot="1" x14ac:dyDescent="0.35">
      <c r="A4886" s="230"/>
      <c r="B4886" s="225"/>
      <c r="C4886" s="36"/>
      <c r="D4886" s="36"/>
      <c r="E4886" s="37"/>
      <c r="F4886" s="31" t="s">
        <v>560</v>
      </c>
      <c r="G4886" s="31" t="str">
        <f t="shared" si="84"/>
        <v/>
      </c>
      <c r="H4886" s="35"/>
      <c r="I4886" s="31"/>
      <c r="J4886" s="155">
        <v>0</v>
      </c>
    </row>
    <row r="4887" spans="1:10" ht="15" hidden="1" thickBot="1" x14ac:dyDescent="0.35">
      <c r="A4887" s="226" t="s">
        <v>1904</v>
      </c>
      <c r="B4887" s="223" t="e">
        <f>INDEX(#REF!,MATCH(Composições!A4887,#REF!,0),2)</f>
        <v>#REF!</v>
      </c>
      <c r="C4887" s="41"/>
      <c r="D4887" s="26" t="e">
        <f>TRIM(INDEX(#REF!,MATCH(Composições!A4887,#REF!,0),1))</f>
        <v>#REF!</v>
      </c>
      <c r="E4887" s="27"/>
      <c r="F4887" s="42" t="s">
        <v>560</v>
      </c>
      <c r="G4887" s="28" t="str">
        <f t="shared" si="84"/>
        <v/>
      </c>
      <c r="H4887" s="29"/>
      <c r="I4887" s="30"/>
      <c r="J4887" s="155">
        <v>0</v>
      </c>
    </row>
    <row r="4888" spans="1:10" ht="15" hidden="1" thickBot="1" x14ac:dyDescent="0.35">
      <c r="A4888" s="229"/>
      <c r="B4888" s="224"/>
      <c r="C4888" s="32"/>
      <c r="D4888" s="32"/>
      <c r="E4888" s="33"/>
      <c r="F4888" s="43" t="s">
        <v>560</v>
      </c>
      <c r="G4888" s="31" t="str">
        <f t="shared" si="84"/>
        <v/>
      </c>
      <c r="H4888" s="35"/>
      <c r="I4888" s="31"/>
      <c r="J4888" s="155">
        <v>0</v>
      </c>
    </row>
    <row r="4889" spans="1:10" ht="27" hidden="1" thickBot="1" x14ac:dyDescent="0.35">
      <c r="A4889" s="229"/>
      <c r="B4889" s="224"/>
      <c r="C4889" s="36" t="s">
        <v>995</v>
      </c>
      <c r="D4889" s="47" t="s">
        <v>744</v>
      </c>
      <c r="E4889" s="37">
        <v>0.5</v>
      </c>
      <c r="F4889" s="31">
        <v>19.898499999999999</v>
      </c>
      <c r="G4889" s="31">
        <f t="shared" si="84"/>
        <v>9.9492499999999993</v>
      </c>
      <c r="H4889" s="39">
        <f>SUM(G4889:G4892)</f>
        <v>17.8047851</v>
      </c>
      <c r="I4889" s="40"/>
      <c r="J4889" s="155">
        <v>0</v>
      </c>
    </row>
    <row r="4890" spans="1:10" ht="27" hidden="1" thickBot="1" x14ac:dyDescent="0.35">
      <c r="A4890" s="229"/>
      <c r="B4890" s="224"/>
      <c r="C4890" s="36" t="s">
        <v>994</v>
      </c>
      <c r="D4890" s="36" t="s">
        <v>744</v>
      </c>
      <c r="E4890" s="37">
        <v>0.5</v>
      </c>
      <c r="F4890" s="34">
        <v>15.4955</v>
      </c>
      <c r="G4890" s="34">
        <f t="shared" si="84"/>
        <v>7.7477499999999999</v>
      </c>
      <c r="H4890" s="35"/>
      <c r="I4890" s="31"/>
      <c r="J4890" s="155">
        <v>0</v>
      </c>
    </row>
    <row r="4891" spans="1:10" ht="15" hidden="1" thickBot="1" x14ac:dyDescent="0.35">
      <c r="A4891" s="229"/>
      <c r="B4891" s="224"/>
      <c r="C4891" s="36" t="s">
        <v>338</v>
      </c>
      <c r="D4891" s="36" t="s">
        <v>292</v>
      </c>
      <c r="E4891" s="37">
        <f>0.47/50</f>
        <v>9.3999999999999986E-3</v>
      </c>
      <c r="F4891" s="34">
        <v>11.4665</v>
      </c>
      <c r="G4891" s="34">
        <f t="shared" si="84"/>
        <v>0.10778509999999998</v>
      </c>
      <c r="H4891" s="35"/>
      <c r="I4891" s="31"/>
      <c r="J4891" s="155">
        <v>0</v>
      </c>
    </row>
    <row r="4892" spans="1:10" ht="15" hidden="1" thickBot="1" x14ac:dyDescent="0.35">
      <c r="A4892" s="229"/>
      <c r="B4892" s="224"/>
      <c r="C4892" s="36" t="s">
        <v>1972</v>
      </c>
      <c r="D4892" s="36" t="s">
        <v>292</v>
      </c>
      <c r="E4892" s="37">
        <v>1</v>
      </c>
      <c r="F4892" s="31" t="s">
        <v>560</v>
      </c>
      <c r="G4892" s="34" t="str">
        <f t="shared" si="84"/>
        <v/>
      </c>
      <c r="H4892" s="35"/>
      <c r="I4892" s="31"/>
      <c r="J4892" s="155">
        <v>0</v>
      </c>
    </row>
    <row r="4893" spans="1:10" ht="15" hidden="1" thickBot="1" x14ac:dyDescent="0.35">
      <c r="A4893" s="230"/>
      <c r="B4893" s="225"/>
      <c r="C4893" s="36"/>
      <c r="D4893" s="36"/>
      <c r="E4893" s="37"/>
      <c r="F4893" s="31" t="s">
        <v>560</v>
      </c>
      <c r="G4893" s="31" t="str">
        <f t="shared" si="84"/>
        <v/>
      </c>
      <c r="H4893" s="35"/>
      <c r="I4893" s="31"/>
      <c r="J4893" s="155">
        <v>0</v>
      </c>
    </row>
    <row r="4894" spans="1:10" ht="15" hidden="1" thickBot="1" x14ac:dyDescent="0.35">
      <c r="A4894" s="226" t="s">
        <v>1905</v>
      </c>
      <c r="B4894" s="223" t="e">
        <f>INDEX(#REF!,MATCH(Composições!A4894,#REF!,0),2)</f>
        <v>#REF!</v>
      </c>
      <c r="C4894" s="41"/>
      <c r="D4894" s="26" t="e">
        <f>TRIM(INDEX(#REF!,MATCH(Composições!A4894,#REF!,0),1))</f>
        <v>#REF!</v>
      </c>
      <c r="E4894" s="27"/>
      <c r="F4894" s="49" t="s">
        <v>560</v>
      </c>
      <c r="G4894" s="28" t="str">
        <f t="shared" si="84"/>
        <v/>
      </c>
      <c r="H4894" s="29"/>
      <c r="I4894" s="30"/>
      <c r="J4894" s="155">
        <v>0</v>
      </c>
    </row>
    <row r="4895" spans="1:10" ht="15" hidden="1" thickBot="1" x14ac:dyDescent="0.35">
      <c r="A4895" s="227"/>
      <c r="B4895" s="224"/>
      <c r="C4895" s="32"/>
      <c r="D4895" s="32"/>
      <c r="E4895" s="33"/>
      <c r="F4895" s="54" t="s">
        <v>560</v>
      </c>
      <c r="G4895" s="54" t="str">
        <f t="shared" si="84"/>
        <v/>
      </c>
      <c r="H4895" s="73"/>
      <c r="I4895" s="74"/>
      <c r="J4895" s="155">
        <v>0</v>
      </c>
    </row>
    <row r="4896" spans="1:10" ht="15" hidden="1" thickBot="1" x14ac:dyDescent="0.35">
      <c r="A4896" s="227"/>
      <c r="B4896" s="224"/>
      <c r="C4896" s="36" t="s">
        <v>2016</v>
      </c>
      <c r="D4896" s="36" t="s">
        <v>292</v>
      </c>
      <c r="E4896" s="37">
        <v>1</v>
      </c>
      <c r="F4896" s="54" t="s">
        <v>560</v>
      </c>
      <c r="G4896" s="54" t="str">
        <f t="shared" si="84"/>
        <v/>
      </c>
      <c r="H4896" s="39">
        <f>SUM(G4896:G4899)</f>
        <v>11.0600589</v>
      </c>
      <c r="I4896" s="40"/>
      <c r="J4896" s="155">
        <v>0</v>
      </c>
    </row>
    <row r="4897" spans="1:10" ht="15" hidden="1" thickBot="1" x14ac:dyDescent="0.35">
      <c r="A4897" s="227"/>
      <c r="B4897" s="224"/>
      <c r="C4897" s="36" t="s">
        <v>1111</v>
      </c>
      <c r="D4897" s="36" t="s">
        <v>292</v>
      </c>
      <c r="E4897" s="37">
        <v>2.1000000000000001E-2</v>
      </c>
      <c r="F4897" s="54">
        <v>3.1110000000000002</v>
      </c>
      <c r="G4897" s="54">
        <f t="shared" si="84"/>
        <v>6.5331000000000014E-2</v>
      </c>
      <c r="H4897" s="73"/>
      <c r="I4897" s="74"/>
      <c r="J4897" s="155">
        <v>0</v>
      </c>
    </row>
    <row r="4898" spans="1:10" ht="27" hidden="1" thickBot="1" x14ac:dyDescent="0.35">
      <c r="A4898" s="227"/>
      <c r="B4898" s="224"/>
      <c r="C4898" s="36" t="s">
        <v>995</v>
      </c>
      <c r="D4898" s="36" t="s">
        <v>744</v>
      </c>
      <c r="E4898" s="37">
        <v>0.44669999999999999</v>
      </c>
      <c r="F4898" s="54">
        <v>19.898499999999999</v>
      </c>
      <c r="G4898" s="54">
        <f t="shared" si="84"/>
        <v>8.8886599499999992</v>
      </c>
      <c r="H4898" s="73"/>
      <c r="I4898" s="74"/>
      <c r="J4898" s="155">
        <v>0</v>
      </c>
    </row>
    <row r="4899" spans="1:10" ht="15" hidden="1" thickBot="1" x14ac:dyDescent="0.35">
      <c r="A4899" s="227"/>
      <c r="B4899" s="224"/>
      <c r="C4899" s="36" t="s">
        <v>745</v>
      </c>
      <c r="D4899" s="36" t="s">
        <v>744</v>
      </c>
      <c r="E4899" s="37">
        <v>0.14069999999999999</v>
      </c>
      <c r="F4899" s="54">
        <v>14.968499999999999</v>
      </c>
      <c r="G4899" s="54">
        <f t="shared" si="84"/>
        <v>2.1060679499999999</v>
      </c>
      <c r="H4899" s="73"/>
      <c r="I4899" s="74"/>
      <c r="J4899" s="155">
        <v>0</v>
      </c>
    </row>
    <row r="4900" spans="1:10" ht="15" hidden="1" thickBot="1" x14ac:dyDescent="0.35">
      <c r="A4900" s="228"/>
      <c r="B4900" s="225"/>
      <c r="C4900" s="36"/>
      <c r="D4900" s="36"/>
      <c r="E4900" s="37"/>
      <c r="F4900" s="54" t="s">
        <v>560</v>
      </c>
      <c r="G4900" s="54" t="str">
        <f t="shared" si="84"/>
        <v/>
      </c>
      <c r="H4900" s="73"/>
      <c r="I4900" s="74"/>
      <c r="J4900" s="155">
        <v>0</v>
      </c>
    </row>
    <row r="4901" spans="1:10" ht="15" hidden="1" thickBot="1" x14ac:dyDescent="0.35">
      <c r="A4901" s="226" t="s">
        <v>1906</v>
      </c>
      <c r="B4901" s="223" t="e">
        <f>INDEX(#REF!,MATCH(Composições!A4901,#REF!,0),2)</f>
        <v>#REF!</v>
      </c>
      <c r="C4901" s="41"/>
      <c r="D4901" s="26" t="e">
        <f>TRIM(INDEX(#REF!,MATCH(Composições!A4901,#REF!,0),1))</f>
        <v>#REF!</v>
      </c>
      <c r="E4901" s="27"/>
      <c r="F4901" s="49" t="s">
        <v>560</v>
      </c>
      <c r="G4901" s="28" t="str">
        <f t="shared" si="84"/>
        <v/>
      </c>
      <c r="H4901" s="29"/>
      <c r="I4901" s="30"/>
      <c r="J4901" s="155">
        <v>0</v>
      </c>
    </row>
    <row r="4902" spans="1:10" ht="15" hidden="1" thickBot="1" x14ac:dyDescent="0.35">
      <c r="A4902" s="227"/>
      <c r="B4902" s="224"/>
      <c r="C4902" s="32"/>
      <c r="D4902" s="32"/>
      <c r="E4902" s="33"/>
      <c r="F4902" s="54" t="s">
        <v>560</v>
      </c>
      <c r="G4902" s="54" t="str">
        <f t="shared" si="84"/>
        <v/>
      </c>
      <c r="H4902" s="73"/>
      <c r="I4902" s="74"/>
      <c r="J4902" s="155">
        <v>0</v>
      </c>
    </row>
    <row r="4903" spans="1:10" ht="27" hidden="1" thickBot="1" x14ac:dyDescent="0.35">
      <c r="A4903" s="227"/>
      <c r="B4903" s="224"/>
      <c r="C4903" s="36" t="s">
        <v>994</v>
      </c>
      <c r="D4903" s="47" t="s">
        <v>744</v>
      </c>
      <c r="E4903" s="37">
        <v>4</v>
      </c>
      <c r="F4903" s="31">
        <v>15.4955</v>
      </c>
      <c r="G4903" s="54">
        <f t="shared" si="84"/>
        <v>61.981999999999999</v>
      </c>
      <c r="H4903" s="39">
        <f>SUM(G4903:G4907)</f>
        <v>214.77732</v>
      </c>
      <c r="I4903" s="40"/>
      <c r="J4903" s="155">
        <v>0</v>
      </c>
    </row>
    <row r="4904" spans="1:10" ht="27" hidden="1" thickBot="1" x14ac:dyDescent="0.35">
      <c r="A4904" s="227"/>
      <c r="B4904" s="224"/>
      <c r="C4904" s="36" t="s">
        <v>995</v>
      </c>
      <c r="D4904" s="36" t="s">
        <v>744</v>
      </c>
      <c r="E4904" s="37">
        <v>4</v>
      </c>
      <c r="F4904" s="31">
        <v>19.898499999999999</v>
      </c>
      <c r="G4904" s="54">
        <f t="shared" si="84"/>
        <v>79.593999999999994</v>
      </c>
      <c r="H4904" s="73"/>
      <c r="I4904" s="74"/>
      <c r="J4904" s="155">
        <v>0</v>
      </c>
    </row>
    <row r="4905" spans="1:10" ht="15" hidden="1" thickBot="1" x14ac:dyDescent="0.35">
      <c r="A4905" s="227"/>
      <c r="B4905" s="224"/>
      <c r="C4905" s="36" t="s">
        <v>74</v>
      </c>
      <c r="D4905" s="47" t="s">
        <v>744</v>
      </c>
      <c r="E4905" s="37">
        <v>2</v>
      </c>
      <c r="F4905" s="31">
        <v>15.928999999999998</v>
      </c>
      <c r="G4905" s="54">
        <f t="shared" si="84"/>
        <v>31.857999999999997</v>
      </c>
      <c r="H4905" s="73"/>
      <c r="I4905" s="74"/>
      <c r="J4905" s="155">
        <v>0</v>
      </c>
    </row>
    <row r="4906" spans="1:10" ht="15" hidden="1" thickBot="1" x14ac:dyDescent="0.35">
      <c r="A4906" s="227"/>
      <c r="B4906" s="224"/>
      <c r="C4906" s="36" t="s">
        <v>30</v>
      </c>
      <c r="D4906" s="36" t="s">
        <v>744</v>
      </c>
      <c r="E4906" s="37">
        <v>2</v>
      </c>
      <c r="F4906" s="31">
        <v>20.484999999999999</v>
      </c>
      <c r="G4906" s="54">
        <f t="shared" si="84"/>
        <v>40.97</v>
      </c>
      <c r="H4906" s="73"/>
      <c r="I4906" s="74"/>
      <c r="J4906" s="155">
        <v>0</v>
      </c>
    </row>
    <row r="4907" spans="1:10" ht="15" hidden="1" thickBot="1" x14ac:dyDescent="0.35">
      <c r="A4907" s="227"/>
      <c r="B4907" s="224"/>
      <c r="C4907" s="36" t="s">
        <v>1111</v>
      </c>
      <c r="D4907" s="36" t="s">
        <v>292</v>
      </c>
      <c r="E4907" s="37">
        <f>1.2/10</f>
        <v>0.12</v>
      </c>
      <c r="F4907" s="54">
        <v>3.1110000000000002</v>
      </c>
      <c r="G4907" s="54">
        <f t="shared" si="84"/>
        <v>0.37331999999999999</v>
      </c>
      <c r="H4907" s="73"/>
      <c r="I4907" s="74"/>
      <c r="J4907" s="155">
        <v>0</v>
      </c>
    </row>
    <row r="4908" spans="1:10" ht="15" hidden="1" thickBot="1" x14ac:dyDescent="0.35">
      <c r="A4908" s="227"/>
      <c r="B4908" s="224"/>
      <c r="C4908" s="36"/>
      <c r="D4908" s="47"/>
      <c r="E4908" s="37"/>
      <c r="F4908" s="54" t="s">
        <v>560</v>
      </c>
      <c r="G4908" s="54" t="str">
        <f t="shared" si="84"/>
        <v/>
      </c>
      <c r="H4908" s="73"/>
      <c r="I4908" s="74"/>
      <c r="J4908" s="155">
        <v>0</v>
      </c>
    </row>
    <row r="4909" spans="1:10" ht="15" hidden="1" thickBot="1" x14ac:dyDescent="0.35">
      <c r="A4909" s="226" t="s">
        <v>1907</v>
      </c>
      <c r="B4909" s="223" t="e">
        <f>INDEX(#REF!,MATCH(Composições!A4909,#REF!,0),2)</f>
        <v>#REF!</v>
      </c>
      <c r="C4909" s="41"/>
      <c r="D4909" s="26" t="e">
        <f>TRIM(INDEX(#REF!,MATCH(Composições!A4909,#REF!,0),1))</f>
        <v>#REF!</v>
      </c>
      <c r="E4909" s="27"/>
      <c r="F4909" s="42" t="s">
        <v>560</v>
      </c>
      <c r="G4909" s="28" t="str">
        <f t="shared" si="84"/>
        <v/>
      </c>
      <c r="H4909" s="29"/>
      <c r="I4909" s="30"/>
      <c r="J4909" s="155">
        <v>0</v>
      </c>
    </row>
    <row r="4910" spans="1:10" ht="15" hidden="1" thickBot="1" x14ac:dyDescent="0.35">
      <c r="A4910" s="229"/>
      <c r="B4910" s="224"/>
      <c r="C4910" s="32"/>
      <c r="D4910" s="32"/>
      <c r="E4910" s="33"/>
      <c r="F4910" s="43" t="s">
        <v>560</v>
      </c>
      <c r="G4910" s="31" t="str">
        <f t="shared" si="84"/>
        <v/>
      </c>
      <c r="H4910" s="35"/>
      <c r="I4910" s="31"/>
      <c r="J4910" s="155">
        <v>0</v>
      </c>
    </row>
    <row r="4911" spans="1:10" ht="27" hidden="1" thickBot="1" x14ac:dyDescent="0.35">
      <c r="A4911" s="229"/>
      <c r="B4911" s="224"/>
      <c r="C4911" s="36" t="s">
        <v>1973</v>
      </c>
      <c r="D4911" s="47" t="s">
        <v>147</v>
      </c>
      <c r="E4911" s="37">
        <v>1</v>
      </c>
      <c r="F4911" s="34" t="s">
        <v>560</v>
      </c>
      <c r="G4911" s="34" t="str">
        <f t="shared" si="84"/>
        <v/>
      </c>
      <c r="H4911" s="39">
        <f>SUM(G4911:G4913)</f>
        <v>15.563546749999999</v>
      </c>
      <c r="I4911" s="40"/>
      <c r="J4911" s="155">
        <v>0</v>
      </c>
    </row>
    <row r="4912" spans="1:10" ht="15" hidden="1" thickBot="1" x14ac:dyDescent="0.35">
      <c r="A4912" s="229"/>
      <c r="B4912" s="224"/>
      <c r="C4912" s="36" t="s">
        <v>39</v>
      </c>
      <c r="D4912" s="47" t="s">
        <v>12</v>
      </c>
      <c r="E4912" s="37">
        <v>0.63229999999999997</v>
      </c>
      <c r="F4912" s="31">
        <v>19.898499999999999</v>
      </c>
      <c r="G4912" s="34">
        <f t="shared" si="84"/>
        <v>12.581821549999999</v>
      </c>
      <c r="H4912" s="35"/>
      <c r="I4912" s="31"/>
      <c r="J4912" s="155">
        <v>0</v>
      </c>
    </row>
    <row r="4913" spans="1:10" ht="15" hidden="1" thickBot="1" x14ac:dyDescent="0.35">
      <c r="A4913" s="229"/>
      <c r="B4913" s="224"/>
      <c r="C4913" s="36" t="s">
        <v>23</v>
      </c>
      <c r="D4913" s="47" t="s">
        <v>12</v>
      </c>
      <c r="E4913" s="37">
        <v>0.19919999999999999</v>
      </c>
      <c r="F4913" s="31">
        <v>14.968499999999999</v>
      </c>
      <c r="G4913" s="34">
        <f t="shared" si="84"/>
        <v>2.9817251999999996</v>
      </c>
      <c r="H4913" s="35"/>
      <c r="I4913" s="31"/>
      <c r="J4913" s="155">
        <v>0</v>
      </c>
    </row>
    <row r="4914" spans="1:10" ht="15" hidden="1" thickBot="1" x14ac:dyDescent="0.35">
      <c r="A4914" s="230"/>
      <c r="B4914" s="225"/>
      <c r="C4914" s="36"/>
      <c r="D4914" s="36"/>
      <c r="E4914" s="37"/>
      <c r="F4914" s="31" t="s">
        <v>560</v>
      </c>
      <c r="G4914" s="31" t="str">
        <f t="shared" ref="G4914:G4977" si="85">IF(ISNUMBER(F4914),E4914*F4914,"")</f>
        <v/>
      </c>
      <c r="H4914" s="35"/>
      <c r="I4914" s="31"/>
      <c r="J4914" s="155">
        <v>0</v>
      </c>
    </row>
    <row r="4915" spans="1:10" ht="15" hidden="1" thickBot="1" x14ac:dyDescent="0.35">
      <c r="A4915" s="226" t="s">
        <v>1908</v>
      </c>
      <c r="B4915" s="223" t="e">
        <f>INDEX(#REF!,MATCH(Composições!A4915,#REF!,0),2)</f>
        <v>#REF!</v>
      </c>
      <c r="C4915" s="41"/>
      <c r="D4915" s="26" t="e">
        <f>TRIM(INDEX(#REF!,MATCH(Composições!A4915,#REF!,0),1))</f>
        <v>#REF!</v>
      </c>
      <c r="E4915" s="27"/>
      <c r="F4915" s="42" t="s">
        <v>560</v>
      </c>
      <c r="G4915" s="28" t="str">
        <f t="shared" si="85"/>
        <v/>
      </c>
      <c r="H4915" s="29"/>
      <c r="I4915" s="30"/>
      <c r="J4915" s="155">
        <v>0</v>
      </c>
    </row>
    <row r="4916" spans="1:10" ht="15" hidden="1" thickBot="1" x14ac:dyDescent="0.35">
      <c r="A4916" s="229"/>
      <c r="B4916" s="224"/>
      <c r="C4916" s="32"/>
      <c r="D4916" s="32"/>
      <c r="E4916" s="33"/>
      <c r="F4916" s="43" t="s">
        <v>560</v>
      </c>
      <c r="G4916" s="31" t="str">
        <f t="shared" si="85"/>
        <v/>
      </c>
      <c r="H4916" s="35"/>
      <c r="I4916" s="31"/>
      <c r="J4916" s="155">
        <v>0</v>
      </c>
    </row>
    <row r="4917" spans="1:10" ht="27" hidden="1" thickBot="1" x14ac:dyDescent="0.35">
      <c r="A4917" s="229"/>
      <c r="B4917" s="224"/>
      <c r="C4917" s="36" t="s">
        <v>1974</v>
      </c>
      <c r="D4917" s="47" t="s">
        <v>147</v>
      </c>
      <c r="E4917" s="37">
        <v>1</v>
      </c>
      <c r="F4917" s="34" t="s">
        <v>560</v>
      </c>
      <c r="G4917" s="34" t="str">
        <f t="shared" si="85"/>
        <v/>
      </c>
      <c r="H4917" s="39">
        <f>SUM(G4917:G4919)</f>
        <v>7.782768299999999</v>
      </c>
      <c r="I4917" s="40"/>
      <c r="J4917" s="155">
        <v>0</v>
      </c>
    </row>
    <row r="4918" spans="1:10" ht="15" hidden="1" thickBot="1" x14ac:dyDescent="0.35">
      <c r="A4918" s="229"/>
      <c r="B4918" s="224"/>
      <c r="C4918" s="36" t="s">
        <v>39</v>
      </c>
      <c r="D4918" s="47" t="s">
        <v>12</v>
      </c>
      <c r="E4918" s="37">
        <v>0.31619999999999998</v>
      </c>
      <c r="F4918" s="31">
        <v>19.898499999999999</v>
      </c>
      <c r="G4918" s="34">
        <f t="shared" si="85"/>
        <v>6.2919056999999992</v>
      </c>
      <c r="H4918" s="35"/>
      <c r="I4918" s="31"/>
      <c r="J4918" s="155">
        <v>0</v>
      </c>
    </row>
    <row r="4919" spans="1:10" ht="15" hidden="1" thickBot="1" x14ac:dyDescent="0.35">
      <c r="A4919" s="229"/>
      <c r="B4919" s="224"/>
      <c r="C4919" s="36" t="s">
        <v>23</v>
      </c>
      <c r="D4919" s="47" t="s">
        <v>12</v>
      </c>
      <c r="E4919" s="37">
        <v>9.9599999999999994E-2</v>
      </c>
      <c r="F4919" s="31">
        <v>14.968499999999999</v>
      </c>
      <c r="G4919" s="34">
        <f t="shared" si="85"/>
        <v>1.4908625999999998</v>
      </c>
      <c r="H4919" s="35"/>
      <c r="I4919" s="31"/>
      <c r="J4919" s="155">
        <v>0</v>
      </c>
    </row>
    <row r="4920" spans="1:10" ht="15" hidden="1" thickBot="1" x14ac:dyDescent="0.35">
      <c r="A4920" s="230"/>
      <c r="B4920" s="225"/>
      <c r="C4920" s="36"/>
      <c r="D4920" s="36"/>
      <c r="E4920" s="37"/>
      <c r="F4920" s="31" t="s">
        <v>560</v>
      </c>
      <c r="G4920" s="31" t="str">
        <f t="shared" si="85"/>
        <v/>
      </c>
      <c r="H4920" s="35"/>
      <c r="I4920" s="31"/>
      <c r="J4920" s="155">
        <v>0</v>
      </c>
    </row>
    <row r="4921" spans="1:10" ht="15" hidden="1" thickBot="1" x14ac:dyDescent="0.35">
      <c r="A4921" s="226" t="s">
        <v>1909</v>
      </c>
      <c r="B4921" s="223" t="e">
        <f>INDEX(#REF!,MATCH(Composições!A4921,#REF!,0),2)</f>
        <v>#REF!</v>
      </c>
      <c r="C4921" s="41"/>
      <c r="D4921" s="26" t="e">
        <f>TRIM(INDEX(#REF!,MATCH(Composições!A4921,#REF!,0),1))</f>
        <v>#REF!</v>
      </c>
      <c r="E4921" s="27"/>
      <c r="F4921" s="42" t="s">
        <v>560</v>
      </c>
      <c r="G4921" s="28" t="str">
        <f t="shared" si="85"/>
        <v/>
      </c>
      <c r="H4921" s="29"/>
      <c r="I4921" s="30"/>
      <c r="J4921" s="155">
        <v>0</v>
      </c>
    </row>
    <row r="4922" spans="1:10" ht="15" hidden="1" thickBot="1" x14ac:dyDescent="0.35">
      <c r="A4922" s="229"/>
      <c r="B4922" s="224"/>
      <c r="C4922" s="32"/>
      <c r="D4922" s="32"/>
      <c r="E4922" s="33"/>
      <c r="F4922" s="43" t="s">
        <v>560</v>
      </c>
      <c r="G4922" s="31" t="str">
        <f t="shared" si="85"/>
        <v/>
      </c>
      <c r="H4922" s="35"/>
      <c r="I4922" s="31"/>
      <c r="J4922" s="155">
        <v>0</v>
      </c>
    </row>
    <row r="4923" spans="1:10" ht="15" hidden="1" thickBot="1" x14ac:dyDescent="0.35">
      <c r="A4923" s="229"/>
      <c r="B4923" s="224"/>
      <c r="C4923" s="36" t="s">
        <v>1975</v>
      </c>
      <c r="D4923" s="36" t="s">
        <v>20</v>
      </c>
      <c r="E4923" s="37">
        <v>1</v>
      </c>
      <c r="F4923" s="34" t="s">
        <v>560</v>
      </c>
      <c r="G4923" s="31" t="str">
        <f t="shared" si="85"/>
        <v/>
      </c>
      <c r="H4923" s="39">
        <f>SUM(G4923:G4925)</f>
        <v>12.781313999999998</v>
      </c>
      <c r="I4923" s="40"/>
      <c r="J4923" s="155">
        <v>0</v>
      </c>
    </row>
    <row r="4924" spans="1:10" ht="15" hidden="1" thickBot="1" x14ac:dyDescent="0.35">
      <c r="A4924" s="229"/>
      <c r="B4924" s="224"/>
      <c r="C4924" s="36" t="s">
        <v>74</v>
      </c>
      <c r="D4924" s="36" t="s">
        <v>12</v>
      </c>
      <c r="E4924" s="37">
        <v>0.35099999999999998</v>
      </c>
      <c r="F4924" s="31">
        <v>15.928999999999998</v>
      </c>
      <c r="G4924" s="34">
        <f t="shared" si="85"/>
        <v>5.5910789999999988</v>
      </c>
      <c r="H4924" s="35"/>
      <c r="I4924" s="31"/>
      <c r="J4924" s="155">
        <v>0</v>
      </c>
    </row>
    <row r="4925" spans="1:10" ht="15" hidden="1" thickBot="1" x14ac:dyDescent="0.35">
      <c r="A4925" s="229"/>
      <c r="B4925" s="224"/>
      <c r="C4925" s="36" t="s">
        <v>30</v>
      </c>
      <c r="D4925" s="36" t="s">
        <v>12</v>
      </c>
      <c r="E4925" s="37">
        <v>0.35099999999999998</v>
      </c>
      <c r="F4925" s="31">
        <v>20.484999999999999</v>
      </c>
      <c r="G4925" s="34">
        <f t="shared" si="85"/>
        <v>7.1902349999999995</v>
      </c>
      <c r="H4925" s="35"/>
      <c r="I4925" s="31"/>
      <c r="J4925" s="155">
        <v>0</v>
      </c>
    </row>
    <row r="4926" spans="1:10" ht="15" hidden="1" thickBot="1" x14ac:dyDescent="0.35">
      <c r="A4926" s="230"/>
      <c r="B4926" s="225"/>
      <c r="C4926" s="36"/>
      <c r="D4926" s="36"/>
      <c r="E4926" s="37"/>
      <c r="F4926" s="31" t="s">
        <v>560</v>
      </c>
      <c r="G4926" s="31" t="str">
        <f t="shared" si="85"/>
        <v/>
      </c>
      <c r="H4926" s="35"/>
      <c r="I4926" s="31"/>
      <c r="J4926" s="155">
        <v>0</v>
      </c>
    </row>
    <row r="4927" spans="1:10" ht="15" hidden="1" thickBot="1" x14ac:dyDescent="0.35">
      <c r="A4927" s="226" t="s">
        <v>1910</v>
      </c>
      <c r="B4927" s="223" t="e">
        <f>INDEX(#REF!,MATCH(Composições!A4927,#REF!,0),2)</f>
        <v>#REF!</v>
      </c>
      <c r="C4927" s="41"/>
      <c r="D4927" s="26" t="e">
        <f>TRIM(INDEX(#REF!,MATCH(Composições!A4927,#REF!,0),1))</f>
        <v>#REF!</v>
      </c>
      <c r="E4927" s="27"/>
      <c r="F4927" s="42" t="s">
        <v>560</v>
      </c>
      <c r="G4927" s="28" t="str">
        <f t="shared" si="85"/>
        <v/>
      </c>
      <c r="H4927" s="29"/>
      <c r="I4927" s="30"/>
      <c r="J4927" s="155">
        <v>0</v>
      </c>
    </row>
    <row r="4928" spans="1:10" ht="15" hidden="1" thickBot="1" x14ac:dyDescent="0.35">
      <c r="A4928" s="229"/>
      <c r="B4928" s="224"/>
      <c r="C4928" s="32"/>
      <c r="D4928" s="32"/>
      <c r="E4928" s="33"/>
      <c r="F4928" s="43" t="s">
        <v>560</v>
      </c>
      <c r="G4928" s="31" t="str">
        <f t="shared" si="85"/>
        <v/>
      </c>
      <c r="H4928" s="35"/>
      <c r="I4928" s="31"/>
      <c r="J4928" s="155">
        <v>0</v>
      </c>
    </row>
    <row r="4929" spans="1:10" ht="15" hidden="1" thickBot="1" x14ac:dyDescent="0.35">
      <c r="A4929" s="229"/>
      <c r="B4929" s="224"/>
      <c r="C4929" s="36" t="s">
        <v>1825</v>
      </c>
      <c r="D4929" s="36" t="s">
        <v>292</v>
      </c>
      <c r="E4929" s="37">
        <v>1</v>
      </c>
      <c r="F4929" s="34">
        <v>4.335</v>
      </c>
      <c r="G4929" s="31">
        <f t="shared" si="85"/>
        <v>4.335</v>
      </c>
      <c r="H4929" s="39">
        <f>SUM(G4929:G4931)</f>
        <v>12.52815</v>
      </c>
      <c r="I4929" s="40"/>
      <c r="J4929" s="155">
        <v>0</v>
      </c>
    </row>
    <row r="4930" spans="1:10" ht="15" hidden="1" thickBot="1" x14ac:dyDescent="0.35">
      <c r="A4930" s="229"/>
      <c r="B4930" s="224"/>
      <c r="C4930" s="36" t="s">
        <v>74</v>
      </c>
      <c r="D4930" s="36" t="s">
        <v>12</v>
      </c>
      <c r="E4930" s="37">
        <v>0.22500000000000001</v>
      </c>
      <c r="F4930" s="31">
        <v>15.928999999999998</v>
      </c>
      <c r="G4930" s="34">
        <f t="shared" si="85"/>
        <v>3.5840249999999996</v>
      </c>
      <c r="H4930" s="35"/>
      <c r="I4930" s="31"/>
      <c r="J4930" s="155">
        <v>0</v>
      </c>
    </row>
    <row r="4931" spans="1:10" ht="15" hidden="1" thickBot="1" x14ac:dyDescent="0.35">
      <c r="A4931" s="229"/>
      <c r="B4931" s="224"/>
      <c r="C4931" s="36" t="s">
        <v>30</v>
      </c>
      <c r="D4931" s="36" t="s">
        <v>12</v>
      </c>
      <c r="E4931" s="37">
        <v>0.22500000000000001</v>
      </c>
      <c r="F4931" s="31">
        <v>20.484999999999999</v>
      </c>
      <c r="G4931" s="34">
        <f t="shared" si="85"/>
        <v>4.6091249999999997</v>
      </c>
      <c r="H4931" s="35"/>
      <c r="I4931" s="31"/>
      <c r="J4931" s="155">
        <v>0</v>
      </c>
    </row>
    <row r="4932" spans="1:10" ht="15" hidden="1" thickBot="1" x14ac:dyDescent="0.35">
      <c r="A4932" s="230"/>
      <c r="B4932" s="225"/>
      <c r="C4932" s="36"/>
      <c r="D4932" s="36"/>
      <c r="E4932" s="37"/>
      <c r="F4932" s="31" t="s">
        <v>560</v>
      </c>
      <c r="G4932" s="31" t="str">
        <f t="shared" si="85"/>
        <v/>
      </c>
      <c r="H4932" s="35"/>
      <c r="I4932" s="31"/>
      <c r="J4932" s="155">
        <v>0</v>
      </c>
    </row>
    <row r="4933" spans="1:10" ht="15" hidden="1" thickBot="1" x14ac:dyDescent="0.35">
      <c r="A4933" s="226" t="s">
        <v>1911</v>
      </c>
      <c r="B4933" s="223" t="e">
        <f>INDEX(#REF!,MATCH(Composições!A4933,#REF!,0),2)</f>
        <v>#REF!</v>
      </c>
      <c r="C4933" s="41"/>
      <c r="D4933" s="26" t="e">
        <f>TRIM(INDEX(#REF!,MATCH(Composições!A4933,#REF!,0),1))</f>
        <v>#REF!</v>
      </c>
      <c r="E4933" s="27"/>
      <c r="F4933" s="42" t="s">
        <v>560</v>
      </c>
      <c r="G4933" s="28" t="str">
        <f t="shared" si="85"/>
        <v/>
      </c>
      <c r="H4933" s="29"/>
      <c r="I4933" s="30"/>
      <c r="J4933" s="155">
        <v>0</v>
      </c>
    </row>
    <row r="4934" spans="1:10" ht="15" hidden="1" thickBot="1" x14ac:dyDescent="0.35">
      <c r="A4934" s="229"/>
      <c r="B4934" s="224"/>
      <c r="C4934" s="32"/>
      <c r="D4934" s="32"/>
      <c r="E4934" s="33"/>
      <c r="F4934" s="43" t="s">
        <v>560</v>
      </c>
      <c r="G4934" s="31" t="str">
        <f t="shared" si="85"/>
        <v/>
      </c>
      <c r="H4934" s="35"/>
      <c r="I4934" s="31"/>
      <c r="J4934" s="155">
        <v>0</v>
      </c>
    </row>
    <row r="4935" spans="1:10" ht="40.200000000000003" hidden="1" thickBot="1" x14ac:dyDescent="0.35">
      <c r="A4935" s="229"/>
      <c r="B4935" s="224"/>
      <c r="C4935" s="36" t="s">
        <v>1796</v>
      </c>
      <c r="D4935" s="36" t="s">
        <v>292</v>
      </c>
      <c r="E4935" s="37">
        <v>1</v>
      </c>
      <c r="F4935" s="34">
        <v>45.576999999999998</v>
      </c>
      <c r="G4935" s="34">
        <f t="shared" si="85"/>
        <v>45.576999999999998</v>
      </c>
      <c r="H4935" s="39">
        <f>SUM(G4935:G4938)</f>
        <v>91.663950700000001</v>
      </c>
      <c r="I4935" s="40"/>
      <c r="J4935" s="155">
        <v>0</v>
      </c>
    </row>
    <row r="4936" spans="1:10" ht="27" hidden="1" thickBot="1" x14ac:dyDescent="0.35">
      <c r="A4936" s="229"/>
      <c r="B4936" s="224"/>
      <c r="C4936" s="36" t="s">
        <v>1793</v>
      </c>
      <c r="D4936" s="36" t="s">
        <v>292</v>
      </c>
      <c r="E4936" s="37">
        <v>2</v>
      </c>
      <c r="F4936" s="34">
        <v>13.6595</v>
      </c>
      <c r="G4936" s="34">
        <f t="shared" si="85"/>
        <v>27.318999999999999</v>
      </c>
      <c r="H4936" s="45"/>
      <c r="I4936" s="46"/>
      <c r="J4936" s="155">
        <v>0</v>
      </c>
    </row>
    <row r="4937" spans="1:10" ht="15" hidden="1" thickBot="1" x14ac:dyDescent="0.35">
      <c r="A4937" s="229"/>
      <c r="B4937" s="224"/>
      <c r="C4937" s="36" t="s">
        <v>74</v>
      </c>
      <c r="D4937" s="47" t="s">
        <v>12</v>
      </c>
      <c r="E4937" s="37">
        <v>0.2883</v>
      </c>
      <c r="F4937" s="31">
        <v>15.928999999999998</v>
      </c>
      <c r="G4937" s="31">
        <f t="shared" si="85"/>
        <v>4.5923306999999998</v>
      </c>
      <c r="H4937" s="35"/>
      <c r="I4937" s="31"/>
      <c r="J4937" s="155">
        <v>0</v>
      </c>
    </row>
    <row r="4938" spans="1:10" ht="15" hidden="1" thickBot="1" x14ac:dyDescent="0.35">
      <c r="A4938" s="229"/>
      <c r="B4938" s="224"/>
      <c r="C4938" s="36" t="s">
        <v>30</v>
      </c>
      <c r="D4938" s="36" t="s">
        <v>12</v>
      </c>
      <c r="E4938" s="37">
        <v>0.69199999999999995</v>
      </c>
      <c r="F4938" s="31">
        <v>20.484999999999999</v>
      </c>
      <c r="G4938" s="31">
        <f t="shared" si="85"/>
        <v>14.175619999999999</v>
      </c>
      <c r="H4938" s="35"/>
      <c r="I4938" s="31"/>
      <c r="J4938" s="155">
        <v>0</v>
      </c>
    </row>
    <row r="4939" spans="1:10" ht="15" hidden="1" thickBot="1" x14ac:dyDescent="0.35">
      <c r="A4939" s="230"/>
      <c r="B4939" s="225"/>
      <c r="C4939" s="36"/>
      <c r="D4939" s="36"/>
      <c r="E4939" s="37"/>
      <c r="F4939" s="31" t="s">
        <v>560</v>
      </c>
      <c r="G4939" s="31" t="str">
        <f t="shared" si="85"/>
        <v/>
      </c>
      <c r="H4939" s="35"/>
      <c r="I4939" s="31"/>
      <c r="J4939" s="155">
        <v>0</v>
      </c>
    </row>
    <row r="4940" spans="1:10" ht="15" hidden="1" thickBot="1" x14ac:dyDescent="0.35">
      <c r="A4940" s="220" t="s">
        <v>1976</v>
      </c>
      <c r="B4940" s="233" t="e">
        <f>INDEX(#REF!,MATCH(Composições!A4940,#REF!,0),2)</f>
        <v>#REF!</v>
      </c>
      <c r="C4940" s="41"/>
      <c r="D4940" s="26" t="e">
        <f>TRIM(INDEX(#REF!,MATCH(Composições!A4940,#REF!,0),1))</f>
        <v>#REF!</v>
      </c>
      <c r="E4940" s="27"/>
      <c r="F4940" s="42" t="s">
        <v>560</v>
      </c>
      <c r="G4940" s="28" t="str">
        <f t="shared" si="85"/>
        <v/>
      </c>
      <c r="H4940" s="29"/>
      <c r="I4940" s="30"/>
      <c r="J4940" s="155">
        <v>0</v>
      </c>
    </row>
    <row r="4941" spans="1:10" ht="15" hidden="1" thickBot="1" x14ac:dyDescent="0.35">
      <c r="A4941" s="231"/>
      <c r="B4941" s="234"/>
      <c r="C4941" s="32"/>
      <c r="D4941" s="32"/>
      <c r="E4941" s="33"/>
      <c r="F4941" s="43" t="s">
        <v>560</v>
      </c>
      <c r="G4941" s="31" t="str">
        <f t="shared" si="85"/>
        <v/>
      </c>
      <c r="H4941" s="35"/>
      <c r="I4941" s="31"/>
      <c r="J4941" s="155">
        <v>0</v>
      </c>
    </row>
    <row r="4942" spans="1:10" ht="53.4" hidden="1" thickBot="1" x14ac:dyDescent="0.35">
      <c r="A4942" s="231"/>
      <c r="B4942" s="234"/>
      <c r="C4942" s="36" t="s">
        <v>2052</v>
      </c>
      <c r="D4942" s="47" t="s">
        <v>292</v>
      </c>
      <c r="E4942" s="37">
        <f>1/(0.8*2.1)</f>
        <v>0.59523809523809523</v>
      </c>
      <c r="F4942" s="34">
        <v>215.66200000000001</v>
      </c>
      <c r="G4942" s="34">
        <f t="shared" si="85"/>
        <v>128.37023809523811</v>
      </c>
      <c r="H4942" s="39">
        <f>SUM(G4942:G4945)</f>
        <v>170.3346573452381</v>
      </c>
      <c r="I4942" s="40"/>
      <c r="J4942" s="155">
        <v>0</v>
      </c>
    </row>
    <row r="4943" spans="1:10" ht="15" hidden="1" thickBot="1" x14ac:dyDescent="0.35">
      <c r="A4943" s="231"/>
      <c r="B4943" s="234"/>
      <c r="C4943" s="36" t="s">
        <v>1720</v>
      </c>
      <c r="D4943" s="47" t="s">
        <v>515</v>
      </c>
      <c r="E4943" s="37">
        <f>1/0.8</f>
        <v>1.25</v>
      </c>
      <c r="F4943" s="31">
        <v>17.288999999999998</v>
      </c>
      <c r="G4943" s="34">
        <f t="shared" si="85"/>
        <v>21.611249999999998</v>
      </c>
      <c r="H4943" s="35"/>
      <c r="I4943" s="31"/>
      <c r="J4943" s="155">
        <v>0</v>
      </c>
    </row>
    <row r="4944" spans="1:10" ht="15" hidden="1" thickBot="1" x14ac:dyDescent="0.35">
      <c r="A4944" s="231"/>
      <c r="B4944" s="234"/>
      <c r="C4944" s="36" t="s">
        <v>743</v>
      </c>
      <c r="D4944" s="47" t="s">
        <v>744</v>
      </c>
      <c r="E4944" s="37">
        <f>ROUND(1.546*0.8/(2.1*0.8),4)</f>
        <v>0.73619999999999997</v>
      </c>
      <c r="F4944" s="31">
        <v>20.161999999999999</v>
      </c>
      <c r="G4944" s="34">
        <f t="shared" si="85"/>
        <v>14.843264399999999</v>
      </c>
      <c r="H4944" s="35"/>
      <c r="I4944" s="31"/>
      <c r="J4944" s="155">
        <v>0</v>
      </c>
    </row>
    <row r="4945" spans="1:10" ht="15" hidden="1" thickBot="1" x14ac:dyDescent="0.35">
      <c r="A4945" s="231"/>
      <c r="B4945" s="234"/>
      <c r="C4945" s="36" t="s">
        <v>745</v>
      </c>
      <c r="D4945" s="47" t="s">
        <v>744</v>
      </c>
      <c r="E4945" s="37">
        <f>ROUND(0.773*0.8/(2.1*0.8),4)</f>
        <v>0.36809999999999998</v>
      </c>
      <c r="F4945" s="31">
        <v>14.968499999999999</v>
      </c>
      <c r="G4945" s="34">
        <f t="shared" si="85"/>
        <v>5.509904849999999</v>
      </c>
      <c r="H4945" s="35"/>
      <c r="I4945" s="31"/>
      <c r="J4945" s="155">
        <v>0</v>
      </c>
    </row>
    <row r="4946" spans="1:10" ht="15" hidden="1" thickBot="1" x14ac:dyDescent="0.35">
      <c r="A4946" s="231"/>
      <c r="B4946" s="234"/>
      <c r="C4946" s="36"/>
      <c r="D4946" s="47"/>
      <c r="E4946" s="37"/>
      <c r="F4946" s="34" t="s">
        <v>560</v>
      </c>
      <c r="G4946" s="34" t="str">
        <f t="shared" si="85"/>
        <v/>
      </c>
      <c r="H4946" s="35"/>
      <c r="I4946" s="31"/>
      <c r="J4946" s="155">
        <v>0</v>
      </c>
    </row>
    <row r="4947" spans="1:10" ht="15" hidden="1" thickBot="1" x14ac:dyDescent="0.35">
      <c r="A4947" s="220" t="s">
        <v>1977</v>
      </c>
      <c r="B4947" s="233" t="e">
        <f>INDEX(#REF!,MATCH(Composições!A4947,#REF!,0),2)</f>
        <v>#REF!</v>
      </c>
      <c r="C4947" s="41"/>
      <c r="D4947" s="26" t="e">
        <f>TRIM(INDEX(#REF!,MATCH(Composições!A4947,#REF!,0),1))</f>
        <v>#REF!</v>
      </c>
      <c r="E4947" s="27"/>
      <c r="F4947" s="42" t="s">
        <v>560</v>
      </c>
      <c r="G4947" s="28" t="str">
        <f t="shared" si="85"/>
        <v/>
      </c>
      <c r="H4947" s="29"/>
      <c r="I4947" s="30"/>
      <c r="J4947" s="155">
        <v>0</v>
      </c>
    </row>
    <row r="4948" spans="1:10" ht="15" hidden="1" thickBot="1" x14ac:dyDescent="0.35">
      <c r="A4948" s="231"/>
      <c r="B4948" s="234"/>
      <c r="C4948" s="32"/>
      <c r="D4948" s="32"/>
      <c r="E4948" s="33"/>
      <c r="F4948" s="43" t="s">
        <v>560</v>
      </c>
      <c r="G4948" s="31" t="str">
        <f t="shared" si="85"/>
        <v/>
      </c>
      <c r="H4948" s="35"/>
      <c r="I4948" s="31"/>
      <c r="J4948" s="155">
        <v>0</v>
      </c>
    </row>
    <row r="4949" spans="1:10" ht="53.4" hidden="1" thickBot="1" x14ac:dyDescent="0.35">
      <c r="A4949" s="231"/>
      <c r="B4949" s="234"/>
      <c r="C4949" s="36" t="s">
        <v>2053</v>
      </c>
      <c r="D4949" s="47" t="s">
        <v>292</v>
      </c>
      <c r="E4949" s="37">
        <f>1/(0.8*2.1)</f>
        <v>0.59523809523809523</v>
      </c>
      <c r="F4949" s="34">
        <v>210.66399999999999</v>
      </c>
      <c r="G4949" s="34">
        <f t="shared" si="85"/>
        <v>125.39523809523808</v>
      </c>
      <c r="H4949" s="39">
        <f>SUM(G4949:G4954)</f>
        <v>182.32999674523808</v>
      </c>
      <c r="I4949" s="40"/>
      <c r="J4949" s="155">
        <v>0</v>
      </c>
    </row>
    <row r="4950" spans="1:10" ht="15" hidden="1" thickBot="1" x14ac:dyDescent="0.35">
      <c r="A4950" s="231"/>
      <c r="B4950" s="234"/>
      <c r="C4950" s="36" t="s">
        <v>1720</v>
      </c>
      <c r="D4950" s="47" t="s">
        <v>515</v>
      </c>
      <c r="E4950" s="37">
        <f>1/0.8</f>
        <v>1.25</v>
      </c>
      <c r="F4950" s="31">
        <v>17.288999999999998</v>
      </c>
      <c r="G4950" s="34">
        <f t="shared" si="85"/>
        <v>21.611249999999998</v>
      </c>
      <c r="H4950" s="35"/>
      <c r="I4950" s="31"/>
      <c r="J4950" s="155">
        <v>0</v>
      </c>
    </row>
    <row r="4951" spans="1:10" ht="15" hidden="1" thickBot="1" x14ac:dyDescent="0.35">
      <c r="A4951" s="231"/>
      <c r="B4951" s="234"/>
      <c r="C4951" s="36" t="s">
        <v>743</v>
      </c>
      <c r="D4951" s="47" t="s">
        <v>744</v>
      </c>
      <c r="E4951" s="37">
        <f>ROUND(1.546*0.8/(0.8*2.1),4)</f>
        <v>0.73619999999999997</v>
      </c>
      <c r="F4951" s="31">
        <v>20.161999999999999</v>
      </c>
      <c r="G4951" s="34">
        <f t="shared" si="85"/>
        <v>14.843264399999999</v>
      </c>
      <c r="H4951" s="35"/>
      <c r="I4951" s="31"/>
      <c r="J4951" s="155">
        <v>0</v>
      </c>
    </row>
    <row r="4952" spans="1:10" ht="15" hidden="1" thickBot="1" x14ac:dyDescent="0.35">
      <c r="A4952" s="231"/>
      <c r="B4952" s="234"/>
      <c r="C4952" s="36" t="s">
        <v>745</v>
      </c>
      <c r="D4952" s="47" t="s">
        <v>744</v>
      </c>
      <c r="E4952" s="37">
        <f>ROUND(0.773*0.8/(0.8*2.1),4)</f>
        <v>0.36809999999999998</v>
      </c>
      <c r="F4952" s="31">
        <v>14.968499999999999</v>
      </c>
      <c r="G4952" s="34">
        <f t="shared" si="85"/>
        <v>5.509904849999999</v>
      </c>
      <c r="H4952" s="35"/>
      <c r="I4952" s="31"/>
      <c r="J4952" s="155">
        <v>0</v>
      </c>
    </row>
    <row r="4953" spans="1:10" ht="15" hidden="1" thickBot="1" x14ac:dyDescent="0.35">
      <c r="A4953" s="231"/>
      <c r="B4953" s="234"/>
      <c r="C4953" s="36" t="s">
        <v>214</v>
      </c>
      <c r="D4953" s="50" t="s">
        <v>103</v>
      </c>
      <c r="E4953" s="37">
        <v>0.108</v>
      </c>
      <c r="F4953" s="34" t="s">
        <v>560</v>
      </c>
      <c r="G4953" s="31" t="str">
        <f t="shared" si="85"/>
        <v/>
      </c>
      <c r="H4953" s="35"/>
      <c r="I4953" s="31"/>
      <c r="J4953" s="155">
        <v>0</v>
      </c>
    </row>
    <row r="4954" spans="1:10" ht="15" hidden="1" thickBot="1" x14ac:dyDescent="0.35">
      <c r="A4954" s="231"/>
      <c r="B4954" s="234"/>
      <c r="C4954" s="36" t="s">
        <v>101</v>
      </c>
      <c r="D4954" s="36" t="s">
        <v>12</v>
      </c>
      <c r="E4954" s="37">
        <v>0.70760000000000001</v>
      </c>
      <c r="F4954" s="31">
        <v>21.156500000000001</v>
      </c>
      <c r="G4954" s="31">
        <f t="shared" si="85"/>
        <v>14.9703394</v>
      </c>
      <c r="H4954" s="35"/>
      <c r="I4954" s="31"/>
      <c r="J4954" s="155">
        <v>0</v>
      </c>
    </row>
    <row r="4955" spans="1:10" ht="15" hidden="1" thickBot="1" x14ac:dyDescent="0.35">
      <c r="A4955" s="231"/>
      <c r="B4955" s="234"/>
      <c r="C4955" s="36"/>
      <c r="D4955" s="36"/>
      <c r="E4955" s="37"/>
      <c r="F4955" s="31" t="s">
        <v>560</v>
      </c>
      <c r="G4955" s="31"/>
      <c r="H4955" s="35"/>
      <c r="I4955" s="31"/>
      <c r="J4955" s="155">
        <v>0</v>
      </c>
    </row>
    <row r="4956" spans="1:10" ht="15" hidden="1" thickBot="1" x14ac:dyDescent="0.35">
      <c r="A4956" s="231"/>
      <c r="B4956" s="234"/>
      <c r="C4956" s="2" t="s">
        <v>1865</v>
      </c>
      <c r="D4956" s="36"/>
      <c r="E4956" s="37"/>
      <c r="F4956" s="31" t="s">
        <v>560</v>
      </c>
      <c r="G4956" s="31"/>
      <c r="H4956" s="35"/>
      <c r="I4956" s="31"/>
      <c r="J4956" s="155">
        <v>0</v>
      </c>
    </row>
    <row r="4957" spans="1:10" ht="15" hidden="1" thickBot="1" x14ac:dyDescent="0.35">
      <c r="A4957" s="231"/>
      <c r="B4957" s="234"/>
      <c r="C4957" s="36"/>
      <c r="D4957" s="47"/>
      <c r="E4957" s="37"/>
      <c r="F4957" s="34" t="s">
        <v>560</v>
      </c>
      <c r="G4957" s="34" t="str">
        <f t="shared" ref="G4957:G5020" si="86">IF(ISNUMBER(F4957),E4957*F4957,"")</f>
        <v/>
      </c>
      <c r="H4957" s="35"/>
      <c r="I4957" s="31"/>
      <c r="J4957" s="155">
        <v>0</v>
      </c>
    </row>
    <row r="4958" spans="1:10" ht="15" hidden="1" thickBot="1" x14ac:dyDescent="0.35">
      <c r="A4958" s="226" t="s">
        <v>1978</v>
      </c>
      <c r="B4958" s="223" t="e">
        <f>INDEX(#REF!,MATCH(Composições!A4958,#REF!,0),2)</f>
        <v>#REF!</v>
      </c>
      <c r="C4958" s="41"/>
      <c r="D4958" s="26" t="e">
        <f>TRIM(INDEX(#REF!,MATCH(Composições!A4958,#REF!,0),1))</f>
        <v>#REF!</v>
      </c>
      <c r="E4958" s="27"/>
      <c r="F4958" s="49" t="s">
        <v>560</v>
      </c>
      <c r="G4958" s="28" t="str">
        <f t="shared" si="86"/>
        <v/>
      </c>
      <c r="H4958" s="29"/>
      <c r="I4958" s="30"/>
      <c r="J4958" s="155">
        <v>0</v>
      </c>
    </row>
    <row r="4959" spans="1:10" ht="15" hidden="1" thickBot="1" x14ac:dyDescent="0.35">
      <c r="A4959" s="227"/>
      <c r="B4959" s="224"/>
      <c r="C4959" s="32"/>
      <c r="D4959" s="32"/>
      <c r="E4959" s="33"/>
      <c r="F4959" s="54" t="s">
        <v>560</v>
      </c>
      <c r="G4959" s="54" t="str">
        <f t="shared" si="86"/>
        <v/>
      </c>
      <c r="H4959" s="73"/>
      <c r="I4959" s="74"/>
      <c r="J4959" s="155">
        <v>0</v>
      </c>
    </row>
    <row r="4960" spans="1:10" ht="27" hidden="1" thickBot="1" x14ac:dyDescent="0.35">
      <c r="A4960" s="227"/>
      <c r="B4960" s="224"/>
      <c r="C4960" s="36" t="s">
        <v>994</v>
      </c>
      <c r="D4960" s="47" t="s">
        <v>744</v>
      </c>
      <c r="E4960" s="37">
        <v>0.93</v>
      </c>
      <c r="F4960" s="31">
        <v>15.4955</v>
      </c>
      <c r="G4960" s="54">
        <f t="shared" si="86"/>
        <v>14.410815000000001</v>
      </c>
      <c r="H4960" s="39">
        <f>SUM(G4960:G4962)</f>
        <v>32.916420000000002</v>
      </c>
      <c r="I4960" s="40"/>
      <c r="J4960" s="155">
        <v>0</v>
      </c>
    </row>
    <row r="4961" spans="1:10" ht="27" hidden="1" thickBot="1" x14ac:dyDescent="0.35">
      <c r="A4961" s="227"/>
      <c r="B4961" s="224"/>
      <c r="C4961" s="36" t="s">
        <v>995</v>
      </c>
      <c r="D4961" s="36" t="s">
        <v>744</v>
      </c>
      <c r="E4961" s="37">
        <v>0.93</v>
      </c>
      <c r="F4961" s="31">
        <v>19.898499999999999</v>
      </c>
      <c r="G4961" s="54">
        <f t="shared" si="86"/>
        <v>18.505604999999999</v>
      </c>
      <c r="H4961" s="73"/>
      <c r="I4961" s="74"/>
      <c r="J4961" s="155">
        <v>0</v>
      </c>
    </row>
    <row r="4962" spans="1:10" ht="15" hidden="1" thickBot="1" x14ac:dyDescent="0.35">
      <c r="A4962" s="227"/>
      <c r="B4962" s="224"/>
      <c r="C4962" s="36" t="s">
        <v>2003</v>
      </c>
      <c r="D4962" s="36" t="s">
        <v>292</v>
      </c>
      <c r="E4962" s="37">
        <v>1</v>
      </c>
      <c r="F4962" s="31" t="s">
        <v>560</v>
      </c>
      <c r="G4962" s="54" t="str">
        <f t="shared" si="86"/>
        <v/>
      </c>
      <c r="H4962" s="73"/>
      <c r="I4962" s="74"/>
      <c r="J4962" s="155">
        <v>0</v>
      </c>
    </row>
    <row r="4963" spans="1:10" ht="15" hidden="1" thickBot="1" x14ac:dyDescent="0.35">
      <c r="A4963" s="227"/>
      <c r="B4963" s="224"/>
      <c r="C4963" s="36"/>
      <c r="D4963" s="47"/>
      <c r="E4963" s="37"/>
      <c r="F4963" s="54" t="s">
        <v>560</v>
      </c>
      <c r="G4963" s="54" t="str">
        <f t="shared" si="86"/>
        <v/>
      </c>
      <c r="H4963" s="73"/>
      <c r="I4963" s="74"/>
      <c r="J4963" s="155">
        <v>0</v>
      </c>
    </row>
    <row r="4964" spans="1:10" ht="15" hidden="1" thickBot="1" x14ac:dyDescent="0.35">
      <c r="A4964" s="226" t="s">
        <v>1979</v>
      </c>
      <c r="B4964" s="223" t="e">
        <f>INDEX(#REF!,MATCH(Composições!A4964,#REF!,0),2)</f>
        <v>#REF!</v>
      </c>
      <c r="C4964" s="41"/>
      <c r="D4964" s="26" t="e">
        <f>TRIM(INDEX(#REF!,MATCH(Composições!A4964,#REF!,0),1))</f>
        <v>#REF!</v>
      </c>
      <c r="E4964" s="27"/>
      <c r="F4964" s="49" t="s">
        <v>560</v>
      </c>
      <c r="G4964" s="28" t="str">
        <f t="shared" si="86"/>
        <v/>
      </c>
      <c r="H4964" s="29"/>
      <c r="I4964" s="30"/>
      <c r="J4964" s="155">
        <v>0</v>
      </c>
    </row>
    <row r="4965" spans="1:10" ht="15" hidden="1" thickBot="1" x14ac:dyDescent="0.35">
      <c r="A4965" s="227"/>
      <c r="B4965" s="224"/>
      <c r="C4965" s="32"/>
      <c r="D4965" s="32"/>
      <c r="E4965" s="33"/>
      <c r="F4965" s="54" t="s">
        <v>560</v>
      </c>
      <c r="G4965" s="54" t="str">
        <f t="shared" si="86"/>
        <v/>
      </c>
      <c r="H4965" s="73"/>
      <c r="I4965" s="74"/>
      <c r="J4965" s="155">
        <v>0</v>
      </c>
    </row>
    <row r="4966" spans="1:10" ht="15" hidden="1" thickBot="1" x14ac:dyDescent="0.35">
      <c r="A4966" s="227"/>
      <c r="B4966" s="224"/>
      <c r="C4966" s="36" t="s">
        <v>1235</v>
      </c>
      <c r="D4966" s="47" t="s">
        <v>939</v>
      </c>
      <c r="E4966" s="37">
        <f>ROUND(0.089*1.3,4)</f>
        <v>0.1157</v>
      </c>
      <c r="F4966" s="31">
        <v>16.226499999999998</v>
      </c>
      <c r="G4966" s="54">
        <f t="shared" si="86"/>
        <v>1.8774060499999998</v>
      </c>
      <c r="H4966" s="39">
        <f>SUM(G4966:G4970)</f>
        <v>69.784518050000003</v>
      </c>
      <c r="I4966" s="40"/>
      <c r="J4966" s="155">
        <v>0</v>
      </c>
    </row>
    <row r="4967" spans="1:10" ht="27" hidden="1" thickBot="1" x14ac:dyDescent="0.35">
      <c r="A4967" s="227"/>
      <c r="B4967" s="224"/>
      <c r="C4967" s="36" t="s">
        <v>2004</v>
      </c>
      <c r="D4967" s="36" t="s">
        <v>292</v>
      </c>
      <c r="E4967" s="37">
        <v>1</v>
      </c>
      <c r="F4967" s="31" t="s">
        <v>560</v>
      </c>
      <c r="G4967" s="54" t="str">
        <f t="shared" si="86"/>
        <v/>
      </c>
      <c r="H4967" s="73"/>
      <c r="I4967" s="74"/>
      <c r="J4967" s="155">
        <v>0</v>
      </c>
    </row>
    <row r="4968" spans="1:10" ht="27" hidden="1" thickBot="1" x14ac:dyDescent="0.35">
      <c r="A4968" s="227"/>
      <c r="B4968" s="224"/>
      <c r="C4968" s="36" t="s">
        <v>994</v>
      </c>
      <c r="D4968" s="47" t="s">
        <v>744</v>
      </c>
      <c r="E4968" s="37">
        <f>ROUND(0.93*1.3,4)</f>
        <v>1.2090000000000001</v>
      </c>
      <c r="F4968" s="31">
        <v>15.4955</v>
      </c>
      <c r="G4968" s="54">
        <f t="shared" si="86"/>
        <v>18.734059500000001</v>
      </c>
      <c r="H4968" s="73"/>
      <c r="I4968" s="74"/>
      <c r="J4968" s="155">
        <v>0</v>
      </c>
    </row>
    <row r="4969" spans="1:10" ht="27" hidden="1" thickBot="1" x14ac:dyDescent="0.35">
      <c r="A4969" s="227"/>
      <c r="B4969" s="224"/>
      <c r="C4969" s="36" t="s">
        <v>995</v>
      </c>
      <c r="D4969" s="36" t="s">
        <v>744</v>
      </c>
      <c r="E4969" s="37">
        <f>ROUND(0.93*1.3,4)</f>
        <v>1.2090000000000001</v>
      </c>
      <c r="F4969" s="31">
        <v>19.898499999999999</v>
      </c>
      <c r="G4969" s="54">
        <f t="shared" si="86"/>
        <v>24.0572865</v>
      </c>
      <c r="H4969" s="73"/>
      <c r="I4969" s="74"/>
      <c r="J4969" s="155">
        <v>0</v>
      </c>
    </row>
    <row r="4970" spans="1:10" ht="15" hidden="1" thickBot="1" x14ac:dyDescent="0.35">
      <c r="A4970" s="227"/>
      <c r="B4970" s="224"/>
      <c r="C4970" s="36" t="s">
        <v>1697</v>
      </c>
      <c r="D4970" s="36" t="s">
        <v>744</v>
      </c>
      <c r="E4970" s="37">
        <f>ROUND(0.93*1.3,4)</f>
        <v>1.2090000000000001</v>
      </c>
      <c r="F4970" s="54">
        <v>20.774000000000001</v>
      </c>
      <c r="G4970" s="54">
        <f t="shared" si="86"/>
        <v>25.115766000000004</v>
      </c>
      <c r="H4970" s="73"/>
      <c r="I4970" s="74"/>
      <c r="J4970" s="155">
        <v>0</v>
      </c>
    </row>
    <row r="4971" spans="1:10" ht="15" hidden="1" thickBot="1" x14ac:dyDescent="0.35">
      <c r="A4971" s="227"/>
      <c r="B4971" s="224"/>
      <c r="C4971" s="36"/>
      <c r="D4971" s="47"/>
      <c r="E4971" s="37"/>
      <c r="F4971" s="54" t="s">
        <v>560</v>
      </c>
      <c r="G4971" s="54" t="str">
        <f t="shared" si="86"/>
        <v/>
      </c>
      <c r="H4971" s="73"/>
      <c r="I4971" s="74"/>
      <c r="J4971" s="155">
        <v>0</v>
      </c>
    </row>
    <row r="4972" spans="1:10" ht="15" hidden="1" thickBot="1" x14ac:dyDescent="0.35">
      <c r="A4972" s="226" t="s">
        <v>1980</v>
      </c>
      <c r="B4972" s="223" t="e">
        <f>INDEX(#REF!,MATCH(Composições!A4972,#REF!,0),2)</f>
        <v>#REF!</v>
      </c>
      <c r="C4972" s="41"/>
      <c r="D4972" s="26" t="e">
        <f>TRIM(INDEX(#REF!,MATCH(Composições!A4972,#REF!,0),1))</f>
        <v>#REF!</v>
      </c>
      <c r="E4972" s="27"/>
      <c r="F4972" s="49" t="s">
        <v>560</v>
      </c>
      <c r="G4972" s="28" t="str">
        <f t="shared" si="86"/>
        <v/>
      </c>
      <c r="H4972" s="29"/>
      <c r="I4972" s="30"/>
      <c r="J4972" s="155">
        <v>0</v>
      </c>
    </row>
    <row r="4973" spans="1:10" ht="15" hidden="1" thickBot="1" x14ac:dyDescent="0.35">
      <c r="A4973" s="227"/>
      <c r="B4973" s="224"/>
      <c r="C4973" s="32"/>
      <c r="D4973" s="32"/>
      <c r="E4973" s="33"/>
      <c r="F4973" s="54" t="s">
        <v>560</v>
      </c>
      <c r="G4973" s="54" t="str">
        <f t="shared" si="86"/>
        <v/>
      </c>
      <c r="H4973" s="73"/>
      <c r="I4973" s="74"/>
      <c r="J4973" s="155">
        <v>0</v>
      </c>
    </row>
    <row r="4974" spans="1:10" ht="15" hidden="1" thickBot="1" x14ac:dyDescent="0.35">
      <c r="A4974" s="227"/>
      <c r="B4974" s="224"/>
      <c r="C4974" s="36" t="s">
        <v>1235</v>
      </c>
      <c r="D4974" s="47" t="s">
        <v>939</v>
      </c>
      <c r="E4974" s="37">
        <f>ROUND(0.089*1.3,4)</f>
        <v>0.1157</v>
      </c>
      <c r="F4974" s="31">
        <v>16.226499999999998</v>
      </c>
      <c r="G4974" s="54">
        <f t="shared" si="86"/>
        <v>1.8774060499999998</v>
      </c>
      <c r="H4974" s="39">
        <f>SUM(G4974:G4978)</f>
        <v>69.784518050000003</v>
      </c>
      <c r="I4974" s="40"/>
      <c r="J4974" s="155">
        <v>0</v>
      </c>
    </row>
    <row r="4975" spans="1:10" ht="27" hidden="1" thickBot="1" x14ac:dyDescent="0.35">
      <c r="A4975" s="227"/>
      <c r="B4975" s="224"/>
      <c r="C4975" s="36" t="s">
        <v>2005</v>
      </c>
      <c r="D4975" s="36" t="s">
        <v>292</v>
      </c>
      <c r="E4975" s="37">
        <v>1</v>
      </c>
      <c r="F4975" s="31" t="s">
        <v>560</v>
      </c>
      <c r="G4975" s="54" t="str">
        <f t="shared" si="86"/>
        <v/>
      </c>
      <c r="H4975" s="73"/>
      <c r="I4975" s="74"/>
      <c r="J4975" s="155">
        <v>0</v>
      </c>
    </row>
    <row r="4976" spans="1:10" ht="27" hidden="1" thickBot="1" x14ac:dyDescent="0.35">
      <c r="A4976" s="227"/>
      <c r="B4976" s="224"/>
      <c r="C4976" s="36" t="s">
        <v>994</v>
      </c>
      <c r="D4976" s="47" t="s">
        <v>744</v>
      </c>
      <c r="E4976" s="37">
        <f>ROUND(0.93*1.3,4)</f>
        <v>1.2090000000000001</v>
      </c>
      <c r="F4976" s="31">
        <v>15.4955</v>
      </c>
      <c r="G4976" s="54">
        <f t="shared" si="86"/>
        <v>18.734059500000001</v>
      </c>
      <c r="H4976" s="73"/>
      <c r="I4976" s="74"/>
      <c r="J4976" s="155">
        <v>0</v>
      </c>
    </row>
    <row r="4977" spans="1:10" ht="27" hidden="1" thickBot="1" x14ac:dyDescent="0.35">
      <c r="A4977" s="227"/>
      <c r="B4977" s="224"/>
      <c r="C4977" s="36" t="s">
        <v>995</v>
      </c>
      <c r="D4977" s="36" t="s">
        <v>744</v>
      </c>
      <c r="E4977" s="37">
        <f>ROUND(0.93*1.3,4)</f>
        <v>1.2090000000000001</v>
      </c>
      <c r="F4977" s="31">
        <v>19.898499999999999</v>
      </c>
      <c r="G4977" s="54">
        <f t="shared" si="86"/>
        <v>24.0572865</v>
      </c>
      <c r="H4977" s="73"/>
      <c r="I4977" s="74"/>
      <c r="J4977" s="155">
        <v>0</v>
      </c>
    </row>
    <row r="4978" spans="1:10" ht="15" hidden="1" thickBot="1" x14ac:dyDescent="0.35">
      <c r="A4978" s="227"/>
      <c r="B4978" s="224"/>
      <c r="C4978" s="36" t="s">
        <v>1697</v>
      </c>
      <c r="D4978" s="36" t="s">
        <v>744</v>
      </c>
      <c r="E4978" s="37">
        <f>ROUND(0.93*1.3,4)</f>
        <v>1.2090000000000001</v>
      </c>
      <c r="F4978" s="54">
        <v>20.774000000000001</v>
      </c>
      <c r="G4978" s="54">
        <f t="shared" si="86"/>
        <v>25.115766000000004</v>
      </c>
      <c r="H4978" s="73"/>
      <c r="I4978" s="74"/>
      <c r="J4978" s="155">
        <v>0</v>
      </c>
    </row>
    <row r="4979" spans="1:10" ht="15" hidden="1" thickBot="1" x14ac:dyDescent="0.35">
      <c r="A4979" s="227"/>
      <c r="B4979" s="224"/>
      <c r="C4979" s="36"/>
      <c r="D4979" s="47"/>
      <c r="E4979" s="37"/>
      <c r="F4979" s="54" t="s">
        <v>560</v>
      </c>
      <c r="G4979" s="54" t="str">
        <f t="shared" si="86"/>
        <v/>
      </c>
      <c r="H4979" s="73"/>
      <c r="I4979" s="74"/>
      <c r="J4979" s="155">
        <v>0</v>
      </c>
    </row>
    <row r="4980" spans="1:10" ht="15" hidden="1" thickBot="1" x14ac:dyDescent="0.35">
      <c r="A4980" s="226" t="s">
        <v>1981</v>
      </c>
      <c r="B4980" s="223" t="e">
        <f>INDEX(#REF!,MATCH(Composições!A4980,#REF!,0),2)</f>
        <v>#REF!</v>
      </c>
      <c r="C4980" s="41"/>
      <c r="D4980" s="26" t="e">
        <f>TRIM(INDEX(#REF!,MATCH(Composições!A4980,#REF!,0),1))</f>
        <v>#REF!</v>
      </c>
      <c r="E4980" s="27"/>
      <c r="F4980" s="49" t="s">
        <v>560</v>
      </c>
      <c r="G4980" s="28" t="str">
        <f t="shared" si="86"/>
        <v/>
      </c>
      <c r="H4980" s="29"/>
      <c r="I4980" s="30"/>
      <c r="J4980" s="155">
        <v>0</v>
      </c>
    </row>
    <row r="4981" spans="1:10" ht="15" hidden="1" thickBot="1" x14ac:dyDescent="0.35">
      <c r="A4981" s="227"/>
      <c r="B4981" s="224"/>
      <c r="C4981" s="32"/>
      <c r="D4981" s="32"/>
      <c r="E4981" s="33"/>
      <c r="F4981" s="54" t="s">
        <v>560</v>
      </c>
      <c r="G4981" s="54" t="str">
        <f t="shared" si="86"/>
        <v/>
      </c>
      <c r="H4981" s="73"/>
      <c r="I4981" s="74"/>
      <c r="J4981" s="155">
        <v>0</v>
      </c>
    </row>
    <row r="4982" spans="1:10" ht="15" hidden="1" thickBot="1" x14ac:dyDescent="0.35">
      <c r="A4982" s="227"/>
      <c r="B4982" s="224"/>
      <c r="C4982" s="36" t="s">
        <v>1235</v>
      </c>
      <c r="D4982" s="47" t="s">
        <v>939</v>
      </c>
      <c r="E4982" s="37">
        <f>ROUND(0.089*1.3,4)</f>
        <v>0.1157</v>
      </c>
      <c r="F4982" s="31">
        <v>16.226499999999998</v>
      </c>
      <c r="G4982" s="54">
        <f t="shared" si="86"/>
        <v>1.8774060499999998</v>
      </c>
      <c r="H4982" s="39">
        <f>SUM(G4982:G4986)</f>
        <v>69.784518050000003</v>
      </c>
      <c r="I4982" s="40"/>
      <c r="J4982" s="155">
        <v>0</v>
      </c>
    </row>
    <row r="4983" spans="1:10" ht="27" hidden="1" thickBot="1" x14ac:dyDescent="0.35">
      <c r="A4983" s="227"/>
      <c r="B4983" s="224"/>
      <c r="C4983" s="36" t="s">
        <v>2006</v>
      </c>
      <c r="D4983" s="36" t="s">
        <v>292</v>
      </c>
      <c r="E4983" s="37">
        <v>1</v>
      </c>
      <c r="F4983" s="31" t="s">
        <v>560</v>
      </c>
      <c r="G4983" s="54" t="str">
        <f t="shared" si="86"/>
        <v/>
      </c>
      <c r="H4983" s="73"/>
      <c r="I4983" s="74"/>
      <c r="J4983" s="155">
        <v>0</v>
      </c>
    </row>
    <row r="4984" spans="1:10" ht="27" hidden="1" thickBot="1" x14ac:dyDescent="0.35">
      <c r="A4984" s="227"/>
      <c r="B4984" s="224"/>
      <c r="C4984" s="36" t="s">
        <v>994</v>
      </c>
      <c r="D4984" s="47" t="s">
        <v>744</v>
      </c>
      <c r="E4984" s="37">
        <f>ROUND(0.93*1.3,4)</f>
        <v>1.2090000000000001</v>
      </c>
      <c r="F4984" s="31">
        <v>15.4955</v>
      </c>
      <c r="G4984" s="54">
        <f t="shared" si="86"/>
        <v>18.734059500000001</v>
      </c>
      <c r="H4984" s="73"/>
      <c r="I4984" s="74"/>
      <c r="J4984" s="155">
        <v>0</v>
      </c>
    </row>
    <row r="4985" spans="1:10" ht="27" hidden="1" thickBot="1" x14ac:dyDescent="0.35">
      <c r="A4985" s="227"/>
      <c r="B4985" s="224"/>
      <c r="C4985" s="36" t="s">
        <v>995</v>
      </c>
      <c r="D4985" s="36" t="s">
        <v>744</v>
      </c>
      <c r="E4985" s="37">
        <f>ROUND(0.93*1.3,4)</f>
        <v>1.2090000000000001</v>
      </c>
      <c r="F4985" s="31">
        <v>19.898499999999999</v>
      </c>
      <c r="G4985" s="54">
        <f t="shared" si="86"/>
        <v>24.0572865</v>
      </c>
      <c r="H4985" s="73"/>
      <c r="I4985" s="74"/>
      <c r="J4985" s="155">
        <v>0</v>
      </c>
    </row>
    <row r="4986" spans="1:10" ht="15" hidden="1" thickBot="1" x14ac:dyDescent="0.35">
      <c r="A4986" s="227"/>
      <c r="B4986" s="224"/>
      <c r="C4986" s="36" t="s">
        <v>1697</v>
      </c>
      <c r="D4986" s="36" t="s">
        <v>744</v>
      </c>
      <c r="E4986" s="37">
        <f>ROUND(0.93*1.3,4)</f>
        <v>1.2090000000000001</v>
      </c>
      <c r="F4986" s="54">
        <v>20.774000000000001</v>
      </c>
      <c r="G4986" s="54">
        <f t="shared" si="86"/>
        <v>25.115766000000004</v>
      </c>
      <c r="H4986" s="73"/>
      <c r="I4986" s="74"/>
      <c r="J4986" s="155">
        <v>0</v>
      </c>
    </row>
    <row r="4987" spans="1:10" ht="15" hidden="1" thickBot="1" x14ac:dyDescent="0.35">
      <c r="A4987" s="227"/>
      <c r="B4987" s="224"/>
      <c r="C4987" s="36"/>
      <c r="D4987" s="47"/>
      <c r="E4987" s="37"/>
      <c r="F4987" s="54" t="s">
        <v>560</v>
      </c>
      <c r="G4987" s="54" t="str">
        <f t="shared" si="86"/>
        <v/>
      </c>
      <c r="H4987" s="73"/>
      <c r="I4987" s="74"/>
      <c r="J4987" s="155">
        <v>0</v>
      </c>
    </row>
    <row r="4988" spans="1:10" ht="15" hidden="1" thickBot="1" x14ac:dyDescent="0.35">
      <c r="A4988" s="226" t="s">
        <v>1982</v>
      </c>
      <c r="B4988" s="223" t="e">
        <f>INDEX(#REF!,MATCH(Composições!A4988,#REF!,0),2)</f>
        <v>#REF!</v>
      </c>
      <c r="C4988" s="41"/>
      <c r="D4988" s="26" t="e">
        <f>TRIM(INDEX(#REF!,MATCH(Composições!A4988,#REF!,0),1))</f>
        <v>#REF!</v>
      </c>
      <c r="E4988" s="27"/>
      <c r="F4988" s="49" t="s">
        <v>560</v>
      </c>
      <c r="G4988" s="28" t="str">
        <f t="shared" si="86"/>
        <v/>
      </c>
      <c r="H4988" s="29"/>
      <c r="I4988" s="30"/>
      <c r="J4988" s="155">
        <v>0</v>
      </c>
    </row>
    <row r="4989" spans="1:10" ht="15" hidden="1" thickBot="1" x14ac:dyDescent="0.35">
      <c r="A4989" s="227"/>
      <c r="B4989" s="224"/>
      <c r="C4989" s="32"/>
      <c r="D4989" s="32"/>
      <c r="E4989" s="33"/>
      <c r="F4989" s="54" t="s">
        <v>560</v>
      </c>
      <c r="G4989" s="54" t="str">
        <f t="shared" si="86"/>
        <v/>
      </c>
      <c r="H4989" s="73"/>
      <c r="I4989" s="74"/>
      <c r="J4989" s="155">
        <v>0</v>
      </c>
    </row>
    <row r="4990" spans="1:10" ht="15" hidden="1" thickBot="1" x14ac:dyDescent="0.35">
      <c r="A4990" s="227"/>
      <c r="B4990" s="224"/>
      <c r="C4990" s="36" t="s">
        <v>1235</v>
      </c>
      <c r="D4990" s="47" t="s">
        <v>939</v>
      </c>
      <c r="E4990" s="37">
        <f>ROUND(0.089*1.5,4)</f>
        <v>0.13350000000000001</v>
      </c>
      <c r="F4990" s="31">
        <v>16.226499999999998</v>
      </c>
      <c r="G4990" s="54">
        <f t="shared" si="86"/>
        <v>2.1662377499999996</v>
      </c>
      <c r="H4990" s="39">
        <f>SUM(G4990:G4994)</f>
        <v>80.520597749999993</v>
      </c>
      <c r="I4990" s="40"/>
      <c r="J4990" s="155">
        <v>0</v>
      </c>
    </row>
    <row r="4991" spans="1:10" ht="27" hidden="1" thickBot="1" x14ac:dyDescent="0.35">
      <c r="A4991" s="227"/>
      <c r="B4991" s="224"/>
      <c r="C4991" s="36" t="s">
        <v>2007</v>
      </c>
      <c r="D4991" s="36" t="s">
        <v>292</v>
      </c>
      <c r="E4991" s="37">
        <v>1</v>
      </c>
      <c r="F4991" s="31" t="s">
        <v>560</v>
      </c>
      <c r="G4991" s="54" t="str">
        <f t="shared" si="86"/>
        <v/>
      </c>
      <c r="H4991" s="73"/>
      <c r="I4991" s="74"/>
      <c r="J4991" s="155">
        <v>0</v>
      </c>
    </row>
    <row r="4992" spans="1:10" ht="27" hidden="1" thickBot="1" x14ac:dyDescent="0.35">
      <c r="A4992" s="227"/>
      <c r="B4992" s="224"/>
      <c r="C4992" s="36" t="s">
        <v>994</v>
      </c>
      <c r="D4992" s="47" t="s">
        <v>744</v>
      </c>
      <c r="E4992" s="37">
        <f>ROUND(0.93*1.5,4)</f>
        <v>1.395</v>
      </c>
      <c r="F4992" s="31">
        <v>15.4955</v>
      </c>
      <c r="G4992" s="54">
        <f t="shared" si="86"/>
        <v>21.616222499999999</v>
      </c>
      <c r="H4992" s="73"/>
      <c r="I4992" s="74"/>
      <c r="J4992" s="155">
        <v>0</v>
      </c>
    </row>
    <row r="4993" spans="1:10" ht="27" hidden="1" thickBot="1" x14ac:dyDescent="0.35">
      <c r="A4993" s="227"/>
      <c r="B4993" s="224"/>
      <c r="C4993" s="36" t="s">
        <v>995</v>
      </c>
      <c r="D4993" s="36" t="s">
        <v>744</v>
      </c>
      <c r="E4993" s="37">
        <f>ROUND(0.93*1.5,4)</f>
        <v>1.395</v>
      </c>
      <c r="F4993" s="31">
        <v>19.898499999999999</v>
      </c>
      <c r="G4993" s="54">
        <f t="shared" si="86"/>
        <v>27.758407499999997</v>
      </c>
      <c r="H4993" s="73"/>
      <c r="I4993" s="74"/>
      <c r="J4993" s="155">
        <v>0</v>
      </c>
    </row>
    <row r="4994" spans="1:10" ht="15" hidden="1" thickBot="1" x14ac:dyDescent="0.35">
      <c r="A4994" s="227"/>
      <c r="B4994" s="224"/>
      <c r="C4994" s="36" t="s">
        <v>1697</v>
      </c>
      <c r="D4994" s="36" t="s">
        <v>744</v>
      </c>
      <c r="E4994" s="37">
        <f>ROUND(0.93*1.5,4)</f>
        <v>1.395</v>
      </c>
      <c r="F4994" s="54">
        <v>20.774000000000001</v>
      </c>
      <c r="G4994" s="54">
        <f t="shared" si="86"/>
        <v>28.97973</v>
      </c>
      <c r="H4994" s="73"/>
      <c r="I4994" s="74"/>
      <c r="J4994" s="155">
        <v>0</v>
      </c>
    </row>
    <row r="4995" spans="1:10" ht="15" hidden="1" thickBot="1" x14ac:dyDescent="0.35">
      <c r="A4995" s="227"/>
      <c r="B4995" s="224"/>
      <c r="C4995" s="36"/>
      <c r="D4995" s="47"/>
      <c r="E4995" s="37"/>
      <c r="F4995" s="54" t="s">
        <v>560</v>
      </c>
      <c r="G4995" s="54" t="str">
        <f t="shared" si="86"/>
        <v/>
      </c>
      <c r="H4995" s="73"/>
      <c r="I4995" s="74"/>
      <c r="J4995" s="155">
        <v>0</v>
      </c>
    </row>
    <row r="4996" spans="1:10" ht="15" hidden="1" thickBot="1" x14ac:dyDescent="0.35">
      <c r="A4996" s="226" t="s">
        <v>1983</v>
      </c>
      <c r="B4996" s="223" t="e">
        <f>INDEX(#REF!,MATCH(Composições!A4996,#REF!,0),2)</f>
        <v>#REF!</v>
      </c>
      <c r="C4996" s="41"/>
      <c r="D4996" s="26" t="e">
        <f>TRIM(INDEX(#REF!,MATCH(Composições!A4996,#REF!,0),1))</f>
        <v>#REF!</v>
      </c>
      <c r="E4996" s="27"/>
      <c r="F4996" s="49" t="s">
        <v>560</v>
      </c>
      <c r="G4996" s="28" t="str">
        <f t="shared" si="86"/>
        <v/>
      </c>
      <c r="H4996" s="29"/>
      <c r="I4996" s="30"/>
      <c r="J4996" s="155">
        <v>0</v>
      </c>
    </row>
    <row r="4997" spans="1:10" ht="15" hidden="1" thickBot="1" x14ac:dyDescent="0.35">
      <c r="A4997" s="227"/>
      <c r="B4997" s="224"/>
      <c r="C4997" s="32"/>
      <c r="D4997" s="32"/>
      <c r="E4997" s="33"/>
      <c r="F4997" s="54" t="s">
        <v>560</v>
      </c>
      <c r="G4997" s="54" t="str">
        <f t="shared" si="86"/>
        <v/>
      </c>
      <c r="H4997" s="73"/>
      <c r="I4997" s="74"/>
      <c r="J4997" s="155">
        <v>0</v>
      </c>
    </row>
    <row r="4998" spans="1:10" ht="27" hidden="1" thickBot="1" x14ac:dyDescent="0.35">
      <c r="A4998" s="227"/>
      <c r="B4998" s="224"/>
      <c r="C4998" s="36" t="s">
        <v>2008</v>
      </c>
      <c r="D4998" s="36" t="s">
        <v>292</v>
      </c>
      <c r="E4998" s="37">
        <v>1</v>
      </c>
      <c r="F4998" s="31" t="s">
        <v>560</v>
      </c>
      <c r="G4998" s="54" t="str">
        <f t="shared" si="86"/>
        <v/>
      </c>
      <c r="H4998" s="39">
        <f>SUM(G4998:G5000)</f>
        <v>13.874448000000001</v>
      </c>
      <c r="I4998" s="40"/>
      <c r="J4998" s="155">
        <v>0</v>
      </c>
    </row>
    <row r="4999" spans="1:10" ht="27" hidden="1" thickBot="1" x14ac:dyDescent="0.35">
      <c r="A4999" s="227"/>
      <c r="B4999" s="224"/>
      <c r="C4999" s="36" t="s">
        <v>994</v>
      </c>
      <c r="D4999" s="47" t="s">
        <v>744</v>
      </c>
      <c r="E4999" s="37">
        <v>0.39200000000000002</v>
      </c>
      <c r="F4999" s="31">
        <v>15.4955</v>
      </c>
      <c r="G4999" s="54">
        <f t="shared" si="86"/>
        <v>6.074236</v>
      </c>
      <c r="H4999" s="73"/>
      <c r="I4999" s="74"/>
      <c r="J4999" s="155">
        <v>0</v>
      </c>
    </row>
    <row r="5000" spans="1:10" ht="27" hidden="1" thickBot="1" x14ac:dyDescent="0.35">
      <c r="A5000" s="227"/>
      <c r="B5000" s="224"/>
      <c r="C5000" s="36" t="s">
        <v>995</v>
      </c>
      <c r="D5000" s="36" t="s">
        <v>744</v>
      </c>
      <c r="E5000" s="37">
        <v>0.39200000000000002</v>
      </c>
      <c r="F5000" s="31">
        <v>19.898499999999999</v>
      </c>
      <c r="G5000" s="54">
        <f t="shared" si="86"/>
        <v>7.8002120000000001</v>
      </c>
      <c r="H5000" s="73"/>
      <c r="I5000" s="74"/>
      <c r="J5000" s="155">
        <v>0</v>
      </c>
    </row>
    <row r="5001" spans="1:10" ht="15" hidden="1" thickBot="1" x14ac:dyDescent="0.35">
      <c r="A5001" s="227"/>
      <c r="B5001" s="224"/>
      <c r="C5001" s="36"/>
      <c r="D5001" s="47"/>
      <c r="E5001" s="37"/>
      <c r="F5001" s="54" t="s">
        <v>560</v>
      </c>
      <c r="G5001" s="54" t="str">
        <f t="shared" si="86"/>
        <v/>
      </c>
      <c r="H5001" s="73"/>
      <c r="I5001" s="74"/>
      <c r="J5001" s="155">
        <v>0</v>
      </c>
    </row>
    <row r="5002" spans="1:10" ht="15" hidden="1" thickBot="1" x14ac:dyDescent="0.35">
      <c r="A5002" s="226" t="s">
        <v>1984</v>
      </c>
      <c r="B5002" s="223" t="e">
        <f>INDEX(#REF!,MATCH(Composições!A5002,#REF!,0),2)</f>
        <v>#REF!</v>
      </c>
      <c r="C5002" s="41"/>
      <c r="D5002" s="26" t="e">
        <f>TRIM(INDEX(#REF!,MATCH(Composições!A5002,#REF!,0),1))</f>
        <v>#REF!</v>
      </c>
      <c r="E5002" s="27"/>
      <c r="F5002" s="49" t="s">
        <v>560</v>
      </c>
      <c r="G5002" s="28" t="str">
        <f t="shared" si="86"/>
        <v/>
      </c>
      <c r="H5002" s="29"/>
      <c r="I5002" s="30"/>
      <c r="J5002" s="155">
        <v>0</v>
      </c>
    </row>
    <row r="5003" spans="1:10" ht="15" hidden="1" thickBot="1" x14ac:dyDescent="0.35">
      <c r="A5003" s="227"/>
      <c r="B5003" s="224"/>
      <c r="C5003" s="32"/>
      <c r="D5003" s="32"/>
      <c r="E5003" s="33"/>
      <c r="F5003" s="54" t="s">
        <v>560</v>
      </c>
      <c r="G5003" s="54" t="str">
        <f t="shared" si="86"/>
        <v/>
      </c>
      <c r="H5003" s="73"/>
      <c r="I5003" s="74"/>
      <c r="J5003" s="155">
        <v>0</v>
      </c>
    </row>
    <row r="5004" spans="1:10" ht="15" hidden="1" thickBot="1" x14ac:dyDescent="0.35">
      <c r="A5004" s="227"/>
      <c r="B5004" s="224"/>
      <c r="C5004" s="36" t="s">
        <v>1235</v>
      </c>
      <c r="D5004" s="47" t="s">
        <v>939</v>
      </c>
      <c r="E5004" s="37">
        <f>ROUND(0.089*1.3,4)</f>
        <v>0.1157</v>
      </c>
      <c r="F5004" s="31">
        <v>16.226499999999998</v>
      </c>
      <c r="G5004" s="54">
        <f t="shared" si="86"/>
        <v>1.8774060499999998</v>
      </c>
      <c r="H5004" s="39">
        <f>SUM(G5004:G5008)</f>
        <v>69.784518050000003</v>
      </c>
      <c r="I5004" s="40"/>
      <c r="J5004" s="155">
        <v>0</v>
      </c>
    </row>
    <row r="5005" spans="1:10" ht="15" hidden="1" thickBot="1" x14ac:dyDescent="0.35">
      <c r="A5005" s="227"/>
      <c r="B5005" s="224"/>
      <c r="C5005" s="36" t="s">
        <v>2009</v>
      </c>
      <c r="D5005" s="36" t="s">
        <v>292</v>
      </c>
      <c r="E5005" s="37">
        <v>1</v>
      </c>
      <c r="F5005" s="31" t="s">
        <v>560</v>
      </c>
      <c r="G5005" s="54" t="str">
        <f t="shared" si="86"/>
        <v/>
      </c>
      <c r="H5005" s="73"/>
      <c r="I5005" s="74"/>
      <c r="J5005" s="155">
        <v>0</v>
      </c>
    </row>
    <row r="5006" spans="1:10" ht="27" hidden="1" thickBot="1" x14ac:dyDescent="0.35">
      <c r="A5006" s="227"/>
      <c r="B5006" s="224"/>
      <c r="C5006" s="36" t="s">
        <v>994</v>
      </c>
      <c r="D5006" s="47" t="s">
        <v>744</v>
      </c>
      <c r="E5006" s="37">
        <f>ROUND(0.93*1.3,4)</f>
        <v>1.2090000000000001</v>
      </c>
      <c r="F5006" s="31">
        <v>15.4955</v>
      </c>
      <c r="G5006" s="54">
        <f t="shared" si="86"/>
        <v>18.734059500000001</v>
      </c>
      <c r="H5006" s="73"/>
      <c r="I5006" s="74"/>
      <c r="J5006" s="155">
        <v>0</v>
      </c>
    </row>
    <row r="5007" spans="1:10" ht="27" hidden="1" thickBot="1" x14ac:dyDescent="0.35">
      <c r="A5007" s="227"/>
      <c r="B5007" s="224"/>
      <c r="C5007" s="36" t="s">
        <v>995</v>
      </c>
      <c r="D5007" s="36" t="s">
        <v>744</v>
      </c>
      <c r="E5007" s="37">
        <f>ROUND(0.93*1.3,4)</f>
        <v>1.2090000000000001</v>
      </c>
      <c r="F5007" s="31">
        <v>19.898499999999999</v>
      </c>
      <c r="G5007" s="54">
        <f t="shared" si="86"/>
        <v>24.0572865</v>
      </c>
      <c r="H5007" s="73"/>
      <c r="I5007" s="74"/>
      <c r="J5007" s="155">
        <v>0</v>
      </c>
    </row>
    <row r="5008" spans="1:10" ht="15" hidden="1" thickBot="1" x14ac:dyDescent="0.35">
      <c r="A5008" s="227"/>
      <c r="B5008" s="224"/>
      <c r="C5008" s="36" t="s">
        <v>1697</v>
      </c>
      <c r="D5008" s="36" t="s">
        <v>744</v>
      </c>
      <c r="E5008" s="37">
        <f>ROUND(0.93*1.3,4)</f>
        <v>1.2090000000000001</v>
      </c>
      <c r="F5008" s="54">
        <v>20.774000000000001</v>
      </c>
      <c r="G5008" s="54">
        <f t="shared" si="86"/>
        <v>25.115766000000004</v>
      </c>
      <c r="H5008" s="73"/>
      <c r="I5008" s="74"/>
      <c r="J5008" s="155">
        <v>0</v>
      </c>
    </row>
    <row r="5009" spans="1:10" ht="15" hidden="1" thickBot="1" x14ac:dyDescent="0.35">
      <c r="A5009" s="227"/>
      <c r="B5009" s="224"/>
      <c r="C5009" s="36"/>
      <c r="D5009" s="47"/>
      <c r="E5009" s="37"/>
      <c r="F5009" s="54" t="s">
        <v>560</v>
      </c>
      <c r="G5009" s="54" t="str">
        <f t="shared" si="86"/>
        <v/>
      </c>
      <c r="H5009" s="73"/>
      <c r="I5009" s="74"/>
      <c r="J5009" s="155">
        <v>0</v>
      </c>
    </row>
    <row r="5010" spans="1:10" ht="15" hidden="1" thickBot="1" x14ac:dyDescent="0.35">
      <c r="A5010" s="226" t="s">
        <v>1985</v>
      </c>
      <c r="B5010" s="223" t="e">
        <f>INDEX(#REF!,MATCH(Composições!A5010,#REF!,0),2)</f>
        <v>#REF!</v>
      </c>
      <c r="C5010" s="41"/>
      <c r="D5010" s="26" t="e">
        <f>TRIM(INDEX(#REF!,MATCH(Composições!A5010,#REF!,0),1))</f>
        <v>#REF!</v>
      </c>
      <c r="E5010" s="27"/>
      <c r="F5010" s="49" t="s">
        <v>560</v>
      </c>
      <c r="G5010" s="28" t="str">
        <f t="shared" si="86"/>
        <v/>
      </c>
      <c r="H5010" s="29"/>
      <c r="I5010" s="30"/>
      <c r="J5010" s="155">
        <v>0</v>
      </c>
    </row>
    <row r="5011" spans="1:10" ht="15" hidden="1" thickBot="1" x14ac:dyDescent="0.35">
      <c r="A5011" s="227"/>
      <c r="B5011" s="224"/>
      <c r="C5011" s="32"/>
      <c r="D5011" s="32"/>
      <c r="E5011" s="33"/>
      <c r="F5011" s="54" t="s">
        <v>560</v>
      </c>
      <c r="G5011" s="54" t="str">
        <f t="shared" si="86"/>
        <v/>
      </c>
      <c r="H5011" s="73"/>
      <c r="I5011" s="74"/>
      <c r="J5011" s="155">
        <v>0</v>
      </c>
    </row>
    <row r="5012" spans="1:10" ht="40.200000000000003" hidden="1" thickBot="1" x14ac:dyDescent="0.35">
      <c r="A5012" s="227"/>
      <c r="B5012" s="224"/>
      <c r="C5012" s="36" t="s">
        <v>2010</v>
      </c>
      <c r="D5012" s="36" t="s">
        <v>93</v>
      </c>
      <c r="E5012" s="37">
        <v>1.0210999999999999</v>
      </c>
      <c r="F5012" s="31" t="s">
        <v>560</v>
      </c>
      <c r="G5012" s="54" t="str">
        <f t="shared" si="86"/>
        <v/>
      </c>
      <c r="H5012" s="39">
        <f>SUM(G5012:G5014)</f>
        <v>3.397824</v>
      </c>
      <c r="I5012" s="40"/>
      <c r="J5012" s="155">
        <v>0</v>
      </c>
    </row>
    <row r="5013" spans="1:10" ht="27" hidden="1" thickBot="1" x14ac:dyDescent="0.35">
      <c r="A5013" s="227"/>
      <c r="B5013" s="224"/>
      <c r="C5013" s="36" t="s">
        <v>994</v>
      </c>
      <c r="D5013" s="47" t="s">
        <v>744</v>
      </c>
      <c r="E5013" s="37">
        <f>5*0.064*0.3</f>
        <v>9.6000000000000002E-2</v>
      </c>
      <c r="F5013" s="31">
        <v>15.4955</v>
      </c>
      <c r="G5013" s="54">
        <f t="shared" si="86"/>
        <v>1.487568</v>
      </c>
      <c r="H5013" s="73"/>
      <c r="I5013" s="74"/>
      <c r="J5013" s="155">
        <v>0</v>
      </c>
    </row>
    <row r="5014" spans="1:10" ht="27" hidden="1" thickBot="1" x14ac:dyDescent="0.35">
      <c r="A5014" s="227"/>
      <c r="B5014" s="224"/>
      <c r="C5014" s="36" t="s">
        <v>995</v>
      </c>
      <c r="D5014" s="36" t="s">
        <v>744</v>
      </c>
      <c r="E5014" s="37">
        <f>5*0.064*0.3</f>
        <v>9.6000000000000002E-2</v>
      </c>
      <c r="F5014" s="31">
        <v>19.898499999999999</v>
      </c>
      <c r="G5014" s="54">
        <f t="shared" si="86"/>
        <v>1.910256</v>
      </c>
      <c r="H5014" s="73"/>
      <c r="I5014" s="74"/>
      <c r="J5014" s="155">
        <v>0</v>
      </c>
    </row>
    <row r="5015" spans="1:10" ht="15" hidden="1" thickBot="1" x14ac:dyDescent="0.35">
      <c r="A5015" s="227"/>
      <c r="B5015" s="224"/>
      <c r="C5015" s="36"/>
      <c r="D5015" s="47"/>
      <c r="E5015" s="37"/>
      <c r="F5015" s="54" t="s">
        <v>560</v>
      </c>
      <c r="G5015" s="54" t="str">
        <f t="shared" si="86"/>
        <v/>
      </c>
      <c r="H5015" s="73"/>
      <c r="I5015" s="74"/>
      <c r="J5015" s="155">
        <v>0</v>
      </c>
    </row>
    <row r="5016" spans="1:10" ht="15" hidden="1" thickBot="1" x14ac:dyDescent="0.35">
      <c r="A5016" s="226" t="s">
        <v>1986</v>
      </c>
      <c r="B5016" s="223" t="e">
        <f>INDEX(#REF!,MATCH(Composições!A5016,#REF!,0),2)</f>
        <v>#REF!</v>
      </c>
      <c r="C5016" s="41"/>
      <c r="D5016" s="26" t="e">
        <f>TRIM(INDEX(#REF!,MATCH(Composições!A5016,#REF!,0),1))</f>
        <v>#REF!</v>
      </c>
      <c r="E5016" s="27"/>
      <c r="F5016" s="49" t="s">
        <v>560</v>
      </c>
      <c r="G5016" s="28" t="str">
        <f t="shared" si="86"/>
        <v/>
      </c>
      <c r="H5016" s="29"/>
      <c r="I5016" s="30"/>
      <c r="J5016" s="155">
        <v>0</v>
      </c>
    </row>
    <row r="5017" spans="1:10" ht="15" hidden="1" thickBot="1" x14ac:dyDescent="0.35">
      <c r="A5017" s="227"/>
      <c r="B5017" s="224"/>
      <c r="C5017" s="32"/>
      <c r="D5017" s="32"/>
      <c r="E5017" s="33"/>
      <c r="F5017" s="54" t="s">
        <v>560</v>
      </c>
      <c r="G5017" s="54" t="str">
        <f t="shared" si="86"/>
        <v/>
      </c>
      <c r="H5017" s="73"/>
      <c r="I5017" s="74"/>
      <c r="J5017" s="155">
        <v>0</v>
      </c>
    </row>
    <row r="5018" spans="1:10" ht="15" hidden="1" thickBot="1" x14ac:dyDescent="0.35">
      <c r="A5018" s="227"/>
      <c r="B5018" s="224"/>
      <c r="C5018" s="36" t="s">
        <v>1235</v>
      </c>
      <c r="D5018" s="47" t="s">
        <v>939</v>
      </c>
      <c r="E5018" s="37">
        <v>8.9999999999999993E-3</v>
      </c>
      <c r="F5018" s="31">
        <v>16.226499999999998</v>
      </c>
      <c r="G5018" s="54">
        <f t="shared" si="86"/>
        <v>0.14603849999999996</v>
      </c>
      <c r="H5018" s="39">
        <f>SUM(G5018:G5022)</f>
        <v>6.5491904999999999</v>
      </c>
      <c r="I5018" s="40"/>
      <c r="J5018" s="155">
        <v>0</v>
      </c>
    </row>
    <row r="5019" spans="1:10" ht="27" hidden="1" thickBot="1" x14ac:dyDescent="0.35">
      <c r="A5019" s="227"/>
      <c r="B5019" s="224"/>
      <c r="C5019" s="36" t="s">
        <v>2011</v>
      </c>
      <c r="D5019" s="36" t="s">
        <v>292</v>
      </c>
      <c r="E5019" s="37">
        <v>1</v>
      </c>
      <c r="F5019" s="31" t="s">
        <v>560</v>
      </c>
      <c r="G5019" s="54" t="str">
        <f t="shared" si="86"/>
        <v/>
      </c>
      <c r="H5019" s="73"/>
      <c r="I5019" s="74"/>
      <c r="J5019" s="155">
        <v>0</v>
      </c>
    </row>
    <row r="5020" spans="1:10" ht="27" hidden="1" thickBot="1" x14ac:dyDescent="0.35">
      <c r="A5020" s="227"/>
      <c r="B5020" s="224"/>
      <c r="C5020" s="36" t="s">
        <v>994</v>
      </c>
      <c r="D5020" s="47" t="s">
        <v>744</v>
      </c>
      <c r="E5020" s="37">
        <v>0.114</v>
      </c>
      <c r="F5020" s="31">
        <v>15.4955</v>
      </c>
      <c r="G5020" s="54">
        <f t="shared" si="86"/>
        <v>1.7664870000000001</v>
      </c>
      <c r="H5020" s="73"/>
      <c r="I5020" s="74"/>
      <c r="J5020" s="155">
        <v>0</v>
      </c>
    </row>
    <row r="5021" spans="1:10" ht="27" hidden="1" thickBot="1" x14ac:dyDescent="0.35">
      <c r="A5021" s="227"/>
      <c r="B5021" s="224"/>
      <c r="C5021" s="36" t="s">
        <v>995</v>
      </c>
      <c r="D5021" s="36" t="s">
        <v>744</v>
      </c>
      <c r="E5021" s="37">
        <v>0.114</v>
      </c>
      <c r="F5021" s="31">
        <v>19.898499999999999</v>
      </c>
      <c r="G5021" s="54">
        <f t="shared" ref="G5021:G5084" si="87">IF(ISNUMBER(F5021),E5021*F5021,"")</f>
        <v>2.2684289999999998</v>
      </c>
      <c r="H5021" s="73"/>
      <c r="I5021" s="74"/>
      <c r="J5021" s="155">
        <v>0</v>
      </c>
    </row>
    <row r="5022" spans="1:10" ht="15" hidden="1" thickBot="1" x14ac:dyDescent="0.35">
      <c r="A5022" s="227"/>
      <c r="B5022" s="224"/>
      <c r="C5022" s="36" t="s">
        <v>1697</v>
      </c>
      <c r="D5022" s="36" t="s">
        <v>744</v>
      </c>
      <c r="E5022" s="37">
        <v>0.114</v>
      </c>
      <c r="F5022" s="54">
        <v>20.774000000000001</v>
      </c>
      <c r="G5022" s="54">
        <f t="shared" si="87"/>
        <v>2.368236</v>
      </c>
      <c r="H5022" s="73"/>
      <c r="I5022" s="74"/>
      <c r="J5022" s="155">
        <v>0</v>
      </c>
    </row>
    <row r="5023" spans="1:10" ht="15" hidden="1" thickBot="1" x14ac:dyDescent="0.35">
      <c r="A5023" s="227"/>
      <c r="B5023" s="224"/>
      <c r="C5023" s="36"/>
      <c r="D5023" s="47"/>
      <c r="E5023" s="37"/>
      <c r="F5023" s="54" t="s">
        <v>560</v>
      </c>
      <c r="G5023" s="54" t="str">
        <f t="shared" si="87"/>
        <v/>
      </c>
      <c r="H5023" s="73"/>
      <c r="I5023" s="74"/>
      <c r="J5023" s="155">
        <v>0</v>
      </c>
    </row>
    <row r="5024" spans="1:10" ht="15" hidden="1" thickBot="1" x14ac:dyDescent="0.35">
      <c r="A5024" s="226" t="s">
        <v>1987</v>
      </c>
      <c r="B5024" s="223" t="e">
        <f>INDEX(#REF!,MATCH(Composições!A5024,#REF!,0),2)</f>
        <v>#REF!</v>
      </c>
      <c r="C5024" s="41"/>
      <c r="D5024" s="26" t="e">
        <f>TRIM(INDEX(#REF!,MATCH(Composições!A5024,#REF!,0),1))</f>
        <v>#REF!</v>
      </c>
      <c r="E5024" s="27"/>
      <c r="F5024" s="49" t="s">
        <v>560</v>
      </c>
      <c r="G5024" s="28" t="str">
        <f t="shared" si="87"/>
        <v/>
      </c>
      <c r="H5024" s="29"/>
      <c r="I5024" s="30"/>
      <c r="J5024" s="155">
        <v>0</v>
      </c>
    </row>
    <row r="5025" spans="1:10" ht="15" hidden="1" thickBot="1" x14ac:dyDescent="0.35">
      <c r="A5025" s="227"/>
      <c r="B5025" s="224"/>
      <c r="C5025" s="32"/>
      <c r="D5025" s="32"/>
      <c r="E5025" s="33"/>
      <c r="F5025" s="54" t="s">
        <v>560</v>
      </c>
      <c r="G5025" s="54" t="str">
        <f t="shared" si="87"/>
        <v/>
      </c>
      <c r="H5025" s="73"/>
      <c r="I5025" s="74"/>
      <c r="J5025" s="155">
        <v>0</v>
      </c>
    </row>
    <row r="5026" spans="1:10" ht="15" hidden="1" thickBot="1" x14ac:dyDescent="0.35">
      <c r="A5026" s="227"/>
      <c r="B5026" s="224"/>
      <c r="C5026" s="36" t="s">
        <v>1235</v>
      </c>
      <c r="D5026" s="47" t="s">
        <v>939</v>
      </c>
      <c r="E5026" s="37">
        <f>ROUND(0.089*1.3,4)</f>
        <v>0.1157</v>
      </c>
      <c r="F5026" s="31">
        <v>16.226499999999998</v>
      </c>
      <c r="G5026" s="54">
        <f t="shared" si="87"/>
        <v>1.8774060499999998</v>
      </c>
      <c r="H5026" s="39">
        <f>SUM(G5026:G5030)</f>
        <v>47.148814050000006</v>
      </c>
      <c r="I5026" s="40"/>
      <c r="J5026" s="155">
        <v>0</v>
      </c>
    </row>
    <row r="5027" spans="1:10" ht="27" hidden="1" thickBot="1" x14ac:dyDescent="0.35">
      <c r="A5027" s="227"/>
      <c r="B5027" s="224"/>
      <c r="C5027" s="36" t="s">
        <v>2012</v>
      </c>
      <c r="D5027" s="36" t="s">
        <v>292</v>
      </c>
      <c r="E5027" s="37">
        <v>1</v>
      </c>
      <c r="F5027" s="31" t="s">
        <v>560</v>
      </c>
      <c r="G5027" s="54" t="str">
        <f t="shared" si="87"/>
        <v/>
      </c>
      <c r="H5027" s="73"/>
      <c r="I5027" s="74"/>
      <c r="J5027" s="155">
        <v>0</v>
      </c>
    </row>
    <row r="5028" spans="1:10" ht="27" hidden="1" thickBot="1" x14ac:dyDescent="0.35">
      <c r="A5028" s="227"/>
      <c r="B5028" s="224"/>
      <c r="C5028" s="36" t="s">
        <v>994</v>
      </c>
      <c r="D5028" s="47" t="s">
        <v>744</v>
      </c>
      <c r="E5028" s="37">
        <f>ROUND(0.62*1.3,4)</f>
        <v>0.80600000000000005</v>
      </c>
      <c r="F5028" s="31">
        <v>15.4955</v>
      </c>
      <c r="G5028" s="54">
        <f t="shared" si="87"/>
        <v>12.489373000000001</v>
      </c>
      <c r="H5028" s="73"/>
      <c r="I5028" s="74"/>
      <c r="J5028" s="155">
        <v>0</v>
      </c>
    </row>
    <row r="5029" spans="1:10" ht="27" hidden="1" thickBot="1" x14ac:dyDescent="0.35">
      <c r="A5029" s="227"/>
      <c r="B5029" s="224"/>
      <c r="C5029" s="36" t="s">
        <v>995</v>
      </c>
      <c r="D5029" s="36" t="s">
        <v>744</v>
      </c>
      <c r="E5029" s="37">
        <f t="shared" ref="E5029:E5030" si="88">ROUND(0.62*1.3,4)</f>
        <v>0.80600000000000005</v>
      </c>
      <c r="F5029" s="31">
        <v>19.898499999999999</v>
      </c>
      <c r="G5029" s="54">
        <f t="shared" si="87"/>
        <v>16.038191000000001</v>
      </c>
      <c r="H5029" s="73"/>
      <c r="I5029" s="74"/>
      <c r="J5029" s="155">
        <v>0</v>
      </c>
    </row>
    <row r="5030" spans="1:10" ht="15" hidden="1" thickBot="1" x14ac:dyDescent="0.35">
      <c r="A5030" s="227"/>
      <c r="B5030" s="224"/>
      <c r="C5030" s="36" t="s">
        <v>1697</v>
      </c>
      <c r="D5030" s="36" t="s">
        <v>744</v>
      </c>
      <c r="E5030" s="37">
        <f t="shared" si="88"/>
        <v>0.80600000000000005</v>
      </c>
      <c r="F5030" s="54">
        <v>20.774000000000001</v>
      </c>
      <c r="G5030" s="54">
        <f t="shared" si="87"/>
        <v>16.743844000000003</v>
      </c>
      <c r="H5030" s="73"/>
      <c r="I5030" s="74"/>
      <c r="J5030" s="155">
        <v>0</v>
      </c>
    </row>
    <row r="5031" spans="1:10" ht="15" hidden="1" thickBot="1" x14ac:dyDescent="0.35">
      <c r="A5031" s="227"/>
      <c r="B5031" s="224"/>
      <c r="C5031" s="36"/>
      <c r="D5031" s="47"/>
      <c r="E5031" s="37"/>
      <c r="F5031" s="54" t="s">
        <v>560</v>
      </c>
      <c r="G5031" s="54" t="str">
        <f t="shared" si="87"/>
        <v/>
      </c>
      <c r="H5031" s="73"/>
      <c r="I5031" s="74"/>
      <c r="J5031" s="155">
        <v>0</v>
      </c>
    </row>
    <row r="5032" spans="1:10" ht="15" hidden="1" thickBot="1" x14ac:dyDescent="0.35">
      <c r="A5032" s="226" t="s">
        <v>1988</v>
      </c>
      <c r="B5032" s="223" t="e">
        <f>INDEX(#REF!,MATCH(Composições!A5032,#REF!,0),2)</f>
        <v>#REF!</v>
      </c>
      <c r="C5032" s="41"/>
      <c r="D5032" s="26" t="e">
        <f>TRIM(INDEX(#REF!,MATCH(Composições!A5032,#REF!,0),1))</f>
        <v>#REF!</v>
      </c>
      <c r="E5032" s="27"/>
      <c r="F5032" s="49" t="s">
        <v>560</v>
      </c>
      <c r="G5032" s="28" t="str">
        <f t="shared" si="87"/>
        <v/>
      </c>
      <c r="H5032" s="29"/>
      <c r="I5032" s="30"/>
      <c r="J5032" s="155">
        <v>0</v>
      </c>
    </row>
    <row r="5033" spans="1:10" ht="15" hidden="1" thickBot="1" x14ac:dyDescent="0.35">
      <c r="A5033" s="227"/>
      <c r="B5033" s="224"/>
      <c r="C5033" s="32"/>
      <c r="D5033" s="32"/>
      <c r="E5033" s="33"/>
      <c r="F5033" s="54" t="s">
        <v>560</v>
      </c>
      <c r="G5033" s="54" t="str">
        <f t="shared" si="87"/>
        <v/>
      </c>
      <c r="H5033" s="73"/>
      <c r="I5033" s="74"/>
      <c r="J5033" s="155">
        <v>0</v>
      </c>
    </row>
    <row r="5034" spans="1:10" ht="15" hidden="1" thickBot="1" x14ac:dyDescent="0.35">
      <c r="A5034" s="227"/>
      <c r="B5034" s="224"/>
      <c r="C5034" s="36" t="s">
        <v>1235</v>
      </c>
      <c r="D5034" s="47" t="s">
        <v>939</v>
      </c>
      <c r="E5034" s="37">
        <f>ROUND(0.133*1.3,4)</f>
        <v>0.1729</v>
      </c>
      <c r="F5034" s="31">
        <v>16.226499999999998</v>
      </c>
      <c r="G5034" s="54">
        <f t="shared" si="87"/>
        <v>2.8055618499999997</v>
      </c>
      <c r="H5034" s="39">
        <f>SUM(G5034:G5038)</f>
        <v>73.049262650000003</v>
      </c>
      <c r="I5034" s="40"/>
      <c r="J5034" s="155">
        <v>0</v>
      </c>
    </row>
    <row r="5035" spans="1:10" ht="15" hidden="1" thickBot="1" x14ac:dyDescent="0.35">
      <c r="A5035" s="227"/>
      <c r="B5035" s="224"/>
      <c r="C5035" s="36" t="s">
        <v>2013</v>
      </c>
      <c r="D5035" s="36" t="s">
        <v>292</v>
      </c>
      <c r="E5035" s="37">
        <v>1</v>
      </c>
      <c r="F5035" s="31" t="s">
        <v>560</v>
      </c>
      <c r="G5035" s="54" t="str">
        <f t="shared" si="87"/>
        <v/>
      </c>
      <c r="H5035" s="73"/>
      <c r="I5035" s="74"/>
      <c r="J5035" s="155">
        <v>0</v>
      </c>
    </row>
    <row r="5036" spans="1:10" ht="27" hidden="1" thickBot="1" x14ac:dyDescent="0.35">
      <c r="A5036" s="227"/>
      <c r="B5036" s="224"/>
      <c r="C5036" s="36" t="s">
        <v>994</v>
      </c>
      <c r="D5036" s="47" t="s">
        <v>744</v>
      </c>
      <c r="E5036" s="37">
        <f>ROUND(0.962*1.3,4)</f>
        <v>1.2505999999999999</v>
      </c>
      <c r="F5036" s="31">
        <v>15.4955</v>
      </c>
      <c r="G5036" s="54">
        <f t="shared" si="87"/>
        <v>19.378672299999998</v>
      </c>
      <c r="H5036" s="73"/>
      <c r="I5036" s="74"/>
      <c r="J5036" s="155">
        <v>0</v>
      </c>
    </row>
    <row r="5037" spans="1:10" ht="27" hidden="1" thickBot="1" x14ac:dyDescent="0.35">
      <c r="A5037" s="227"/>
      <c r="B5037" s="224"/>
      <c r="C5037" s="36" t="s">
        <v>995</v>
      </c>
      <c r="D5037" s="36" t="s">
        <v>744</v>
      </c>
      <c r="E5037" s="37">
        <f t="shared" ref="E5037:E5038" si="89">ROUND(0.962*1.3,4)</f>
        <v>1.2505999999999999</v>
      </c>
      <c r="F5037" s="31">
        <v>19.898499999999999</v>
      </c>
      <c r="G5037" s="54">
        <f t="shared" si="87"/>
        <v>24.885064099999997</v>
      </c>
      <c r="H5037" s="73"/>
      <c r="I5037" s="74"/>
      <c r="J5037" s="155">
        <v>0</v>
      </c>
    </row>
    <row r="5038" spans="1:10" ht="15" hidden="1" thickBot="1" x14ac:dyDescent="0.35">
      <c r="A5038" s="227"/>
      <c r="B5038" s="224"/>
      <c r="C5038" s="36" t="s">
        <v>1697</v>
      </c>
      <c r="D5038" s="36" t="s">
        <v>744</v>
      </c>
      <c r="E5038" s="37">
        <f t="shared" si="89"/>
        <v>1.2505999999999999</v>
      </c>
      <c r="F5038" s="54">
        <v>20.774000000000001</v>
      </c>
      <c r="G5038" s="54">
        <f t="shared" si="87"/>
        <v>25.9799644</v>
      </c>
      <c r="H5038" s="73"/>
      <c r="I5038" s="74"/>
      <c r="J5038" s="155">
        <v>0</v>
      </c>
    </row>
    <row r="5039" spans="1:10" ht="15" hidden="1" thickBot="1" x14ac:dyDescent="0.35">
      <c r="A5039" s="227"/>
      <c r="B5039" s="224"/>
      <c r="C5039" s="36"/>
      <c r="D5039" s="47"/>
      <c r="E5039" s="37"/>
      <c r="F5039" s="54" t="s">
        <v>560</v>
      </c>
      <c r="G5039" s="54" t="str">
        <f t="shared" si="87"/>
        <v/>
      </c>
      <c r="H5039" s="73"/>
      <c r="I5039" s="74"/>
      <c r="J5039" s="155">
        <v>0</v>
      </c>
    </row>
    <row r="5040" spans="1:10" ht="15" hidden="1" thickBot="1" x14ac:dyDescent="0.35">
      <c r="A5040" s="226" t="s">
        <v>1989</v>
      </c>
      <c r="B5040" s="223" t="e">
        <f>INDEX(#REF!,MATCH(Composições!A5040,#REF!,0),2)</f>
        <v>#REF!</v>
      </c>
      <c r="C5040" s="41"/>
      <c r="D5040" s="26" t="e">
        <f>TRIM(INDEX(#REF!,MATCH(Composições!A5040,#REF!,0),1))</f>
        <v>#REF!</v>
      </c>
      <c r="E5040" s="27"/>
      <c r="F5040" s="49" t="s">
        <v>560</v>
      </c>
      <c r="G5040" s="28" t="str">
        <f t="shared" si="87"/>
        <v/>
      </c>
      <c r="H5040" s="29"/>
      <c r="I5040" s="30"/>
      <c r="J5040" s="155">
        <v>0</v>
      </c>
    </row>
    <row r="5041" spans="1:10" ht="15" hidden="1" thickBot="1" x14ac:dyDescent="0.35">
      <c r="A5041" s="227"/>
      <c r="B5041" s="224"/>
      <c r="C5041" s="32"/>
      <c r="D5041" s="32"/>
      <c r="E5041" s="33"/>
      <c r="F5041" s="54" t="s">
        <v>560</v>
      </c>
      <c r="G5041" s="54" t="str">
        <f t="shared" si="87"/>
        <v/>
      </c>
      <c r="H5041" s="73"/>
      <c r="I5041" s="74"/>
      <c r="J5041" s="155">
        <v>0</v>
      </c>
    </row>
    <row r="5042" spans="1:10" ht="40.200000000000003" hidden="1" thickBot="1" x14ac:dyDescent="0.35">
      <c r="A5042" s="227"/>
      <c r="B5042" s="224"/>
      <c r="C5042" s="36" t="s">
        <v>1654</v>
      </c>
      <c r="D5042" s="47" t="s">
        <v>983</v>
      </c>
      <c r="E5042" s="37">
        <v>2.1100000000000001E-2</v>
      </c>
      <c r="F5042" s="31">
        <v>128.05250000000001</v>
      </c>
      <c r="G5042" s="54">
        <f t="shared" si="87"/>
        <v>2.7019077500000002</v>
      </c>
      <c r="H5042" s="39">
        <f>SUM(G5042:G5048)</f>
        <v>424.21511765000002</v>
      </c>
      <c r="I5042" s="40"/>
      <c r="J5042" s="155">
        <v>0</v>
      </c>
    </row>
    <row r="5043" spans="1:10" ht="40.200000000000003" hidden="1" thickBot="1" x14ac:dyDescent="0.35">
      <c r="A5043" s="227"/>
      <c r="B5043" s="224"/>
      <c r="C5043" s="36" t="s">
        <v>1662</v>
      </c>
      <c r="D5043" s="36" t="s">
        <v>985</v>
      </c>
      <c r="E5043" s="37">
        <v>4.0300000000000002E-2</v>
      </c>
      <c r="F5043" s="31">
        <v>50.540999999999997</v>
      </c>
      <c r="G5043" s="54">
        <f t="shared" si="87"/>
        <v>2.0368023000000002</v>
      </c>
      <c r="H5043" s="73"/>
      <c r="I5043" s="74"/>
      <c r="J5043" s="155">
        <v>0</v>
      </c>
    </row>
    <row r="5044" spans="1:10" ht="15" hidden="1" thickBot="1" x14ac:dyDescent="0.35">
      <c r="A5044" s="227"/>
      <c r="B5044" s="224"/>
      <c r="C5044" s="36" t="s">
        <v>135</v>
      </c>
      <c r="D5044" s="47" t="s">
        <v>939</v>
      </c>
      <c r="E5044" s="37">
        <f>ROUND(0.1875*0.6,4)</f>
        <v>0.1125</v>
      </c>
      <c r="F5044" s="31">
        <v>16.898</v>
      </c>
      <c r="G5044" s="54">
        <f t="shared" si="87"/>
        <v>1.901025</v>
      </c>
      <c r="H5044" s="73"/>
      <c r="I5044" s="74"/>
      <c r="J5044" s="155">
        <v>0</v>
      </c>
    </row>
    <row r="5045" spans="1:10" ht="15" hidden="1" thickBot="1" x14ac:dyDescent="0.35">
      <c r="A5045" s="227"/>
      <c r="B5045" s="224"/>
      <c r="C5045" s="36" t="s">
        <v>1693</v>
      </c>
      <c r="D5045" s="36" t="s">
        <v>744</v>
      </c>
      <c r="E5045" s="37">
        <v>6.5600000000000006E-2</v>
      </c>
      <c r="F5045" s="31">
        <v>15.852499999999999</v>
      </c>
      <c r="G5045" s="54">
        <f t="shared" si="87"/>
        <v>1.0399240000000001</v>
      </c>
      <c r="H5045" s="73"/>
      <c r="I5045" s="74"/>
      <c r="J5045" s="155">
        <v>0</v>
      </c>
    </row>
    <row r="5046" spans="1:10" ht="15" hidden="1" thickBot="1" x14ac:dyDescent="0.35">
      <c r="A5046" s="227"/>
      <c r="B5046" s="224"/>
      <c r="C5046" s="36" t="s">
        <v>745</v>
      </c>
      <c r="D5046" s="36" t="s">
        <v>744</v>
      </c>
      <c r="E5046" s="37">
        <v>6.5600000000000006E-2</v>
      </c>
      <c r="F5046" s="54">
        <v>14.968499999999999</v>
      </c>
      <c r="G5046" s="54">
        <f t="shared" si="87"/>
        <v>0.98193359999999996</v>
      </c>
      <c r="H5046" s="73"/>
      <c r="I5046" s="74"/>
      <c r="J5046" s="155">
        <v>0</v>
      </c>
    </row>
    <row r="5047" spans="1:10" ht="15" hidden="1" thickBot="1" x14ac:dyDescent="0.35">
      <c r="A5047" s="227"/>
      <c r="B5047" s="224"/>
      <c r="C5047" s="36" t="s">
        <v>1697</v>
      </c>
      <c r="D5047" s="36" t="s">
        <v>744</v>
      </c>
      <c r="E5047" s="37">
        <f>ROUND(0.4792*0.6,4)</f>
        <v>0.28749999999999998</v>
      </c>
      <c r="F5047" s="54">
        <v>20.774000000000001</v>
      </c>
      <c r="G5047" s="54">
        <f t="shared" si="87"/>
        <v>5.9725250000000001</v>
      </c>
      <c r="H5047" s="73"/>
      <c r="I5047" s="74"/>
      <c r="J5047" s="155">
        <v>0</v>
      </c>
    </row>
    <row r="5048" spans="1:10" ht="27" hidden="1" thickBot="1" x14ac:dyDescent="0.35">
      <c r="A5048" s="227"/>
      <c r="B5048" s="224"/>
      <c r="C5048" s="36" t="s">
        <v>1927</v>
      </c>
      <c r="D5048" s="36" t="s">
        <v>515</v>
      </c>
      <c r="E5048" s="37">
        <v>1</v>
      </c>
      <c r="F5048" s="54">
        <v>409.58100000000002</v>
      </c>
      <c r="G5048" s="54">
        <f t="shared" si="87"/>
        <v>409.58100000000002</v>
      </c>
      <c r="H5048" s="73"/>
      <c r="I5048" s="74"/>
      <c r="J5048" s="155">
        <v>0</v>
      </c>
    </row>
    <row r="5049" spans="1:10" ht="15" hidden="1" thickBot="1" x14ac:dyDescent="0.35">
      <c r="A5049" s="227"/>
      <c r="B5049" s="224"/>
      <c r="C5049" s="36"/>
      <c r="D5049" s="47"/>
      <c r="E5049" s="37"/>
      <c r="F5049" s="54" t="s">
        <v>560</v>
      </c>
      <c r="G5049" s="54" t="str">
        <f t="shared" si="87"/>
        <v/>
      </c>
      <c r="H5049" s="73"/>
      <c r="I5049" s="74"/>
      <c r="J5049" s="155">
        <v>0</v>
      </c>
    </row>
    <row r="5050" spans="1:10" ht="15" hidden="1" thickBot="1" x14ac:dyDescent="0.35">
      <c r="A5050" s="226" t="s">
        <v>1990</v>
      </c>
      <c r="B5050" s="223" t="e">
        <f>INDEX(#REF!,MATCH(Composições!A5050,#REF!,0),2)</f>
        <v>#REF!</v>
      </c>
      <c r="C5050" s="41"/>
      <c r="D5050" s="26" t="e">
        <f>TRIM(INDEX(#REF!,MATCH(Composições!A5050,#REF!,0),1))</f>
        <v>#REF!</v>
      </c>
      <c r="E5050" s="27"/>
      <c r="F5050" s="49" t="s">
        <v>560</v>
      </c>
      <c r="G5050" s="28" t="str">
        <f t="shared" si="87"/>
        <v/>
      </c>
      <c r="H5050" s="29"/>
      <c r="I5050" s="30"/>
      <c r="J5050" s="155">
        <v>0</v>
      </c>
    </row>
    <row r="5051" spans="1:10" ht="15" hidden="1" thickBot="1" x14ac:dyDescent="0.35">
      <c r="A5051" s="227"/>
      <c r="B5051" s="224"/>
      <c r="C5051" s="32"/>
      <c r="D5051" s="32"/>
      <c r="E5051" s="33"/>
      <c r="F5051" s="54" t="s">
        <v>560</v>
      </c>
      <c r="G5051" s="54" t="str">
        <f t="shared" si="87"/>
        <v/>
      </c>
      <c r="H5051" s="73"/>
      <c r="I5051" s="74"/>
      <c r="J5051" s="155">
        <v>0</v>
      </c>
    </row>
    <row r="5052" spans="1:10" ht="40.200000000000003" hidden="1" thickBot="1" x14ac:dyDescent="0.35">
      <c r="A5052" s="227"/>
      <c r="B5052" s="224"/>
      <c r="C5052" s="36" t="s">
        <v>1654</v>
      </c>
      <c r="D5052" s="47" t="s">
        <v>983</v>
      </c>
      <c r="E5052" s="37">
        <v>2.1100000000000001E-2</v>
      </c>
      <c r="F5052" s="31">
        <v>128.05250000000001</v>
      </c>
      <c r="G5052" s="54">
        <f t="shared" si="87"/>
        <v>2.7019077500000002</v>
      </c>
      <c r="H5052" s="39">
        <f>SUM(G5052:G5058)</f>
        <v>711.46351924999999</v>
      </c>
      <c r="I5052" s="40"/>
      <c r="J5052" s="155">
        <v>0</v>
      </c>
    </row>
    <row r="5053" spans="1:10" ht="40.200000000000003" hidden="1" thickBot="1" x14ac:dyDescent="0.35">
      <c r="A5053" s="227"/>
      <c r="B5053" s="224"/>
      <c r="C5053" s="36" t="s">
        <v>1662</v>
      </c>
      <c r="D5053" s="36" t="s">
        <v>985</v>
      </c>
      <c r="E5053" s="37">
        <v>4.0300000000000002E-2</v>
      </c>
      <c r="F5053" s="31">
        <v>50.540999999999997</v>
      </c>
      <c r="G5053" s="54">
        <f t="shared" si="87"/>
        <v>2.0368023000000002</v>
      </c>
      <c r="H5053" s="73"/>
      <c r="I5053" s="74"/>
      <c r="J5053" s="155">
        <v>0</v>
      </c>
    </row>
    <row r="5054" spans="1:10" ht="15" hidden="1" thickBot="1" x14ac:dyDescent="0.35">
      <c r="A5054" s="227"/>
      <c r="B5054" s="224"/>
      <c r="C5054" s="36" t="s">
        <v>135</v>
      </c>
      <c r="D5054" s="47" t="s">
        <v>939</v>
      </c>
      <c r="E5054" s="37">
        <f>ROUND(0.1875*0.8,4)</f>
        <v>0.15</v>
      </c>
      <c r="F5054" s="31">
        <v>16.898</v>
      </c>
      <c r="G5054" s="54">
        <f t="shared" si="87"/>
        <v>2.5347</v>
      </c>
      <c r="H5054" s="73"/>
      <c r="I5054" s="74"/>
      <c r="J5054" s="155">
        <v>0</v>
      </c>
    </row>
    <row r="5055" spans="1:10" ht="15" hidden="1" thickBot="1" x14ac:dyDescent="0.35">
      <c r="A5055" s="227"/>
      <c r="B5055" s="224"/>
      <c r="C5055" s="36" t="s">
        <v>1693</v>
      </c>
      <c r="D5055" s="36" t="s">
        <v>744</v>
      </c>
      <c r="E5055" s="37">
        <v>6.5600000000000006E-2</v>
      </c>
      <c r="F5055" s="31">
        <v>15.852499999999999</v>
      </c>
      <c r="G5055" s="54">
        <f t="shared" si="87"/>
        <v>1.0399240000000001</v>
      </c>
      <c r="H5055" s="73"/>
      <c r="I5055" s="74"/>
      <c r="J5055" s="155">
        <v>0</v>
      </c>
    </row>
    <row r="5056" spans="1:10" ht="15" hidden="1" thickBot="1" x14ac:dyDescent="0.35">
      <c r="A5056" s="227"/>
      <c r="B5056" s="224"/>
      <c r="C5056" s="36" t="s">
        <v>745</v>
      </c>
      <c r="D5056" s="36" t="s">
        <v>744</v>
      </c>
      <c r="E5056" s="37">
        <v>6.5600000000000006E-2</v>
      </c>
      <c r="F5056" s="54">
        <v>14.968499999999999</v>
      </c>
      <c r="G5056" s="54">
        <f t="shared" si="87"/>
        <v>0.98193359999999996</v>
      </c>
      <c r="H5056" s="73"/>
      <c r="I5056" s="74"/>
      <c r="J5056" s="155">
        <v>0</v>
      </c>
    </row>
    <row r="5057" spans="1:10" ht="15" hidden="1" thickBot="1" x14ac:dyDescent="0.35">
      <c r="A5057" s="227"/>
      <c r="B5057" s="224"/>
      <c r="C5057" s="36" t="s">
        <v>1697</v>
      </c>
      <c r="D5057" s="36" t="s">
        <v>744</v>
      </c>
      <c r="E5057" s="37">
        <f>ROUND(0.4792*0.8,4)</f>
        <v>0.38340000000000002</v>
      </c>
      <c r="F5057" s="54">
        <v>20.774000000000001</v>
      </c>
      <c r="G5057" s="54">
        <f t="shared" si="87"/>
        <v>7.9647516000000005</v>
      </c>
      <c r="H5057" s="73"/>
      <c r="I5057" s="74"/>
      <c r="J5057" s="155">
        <v>0</v>
      </c>
    </row>
    <row r="5058" spans="1:10" ht="27" hidden="1" thickBot="1" x14ac:dyDescent="0.35">
      <c r="A5058" s="227"/>
      <c r="B5058" s="224"/>
      <c r="C5058" s="36" t="s">
        <v>1858</v>
      </c>
      <c r="D5058" s="36" t="s">
        <v>515</v>
      </c>
      <c r="E5058" s="37">
        <v>1</v>
      </c>
      <c r="F5058" s="54">
        <v>694.20349999999996</v>
      </c>
      <c r="G5058" s="54">
        <f t="shared" si="87"/>
        <v>694.20349999999996</v>
      </c>
      <c r="H5058" s="73"/>
      <c r="I5058" s="74"/>
      <c r="J5058" s="155">
        <v>0</v>
      </c>
    </row>
    <row r="5059" spans="1:10" ht="15" hidden="1" thickBot="1" x14ac:dyDescent="0.35">
      <c r="A5059" s="227"/>
      <c r="B5059" s="224"/>
      <c r="C5059" s="36"/>
      <c r="D5059" s="47"/>
      <c r="E5059" s="37"/>
      <c r="F5059" s="54" t="s">
        <v>560</v>
      </c>
      <c r="G5059" s="54" t="str">
        <f t="shared" si="87"/>
        <v/>
      </c>
      <c r="H5059" s="73"/>
      <c r="I5059" s="74"/>
      <c r="J5059" s="155">
        <v>0</v>
      </c>
    </row>
    <row r="5060" spans="1:10" ht="15" hidden="1" thickBot="1" x14ac:dyDescent="0.35">
      <c r="A5060" s="226" t="s">
        <v>1991</v>
      </c>
      <c r="B5060" s="223" t="e">
        <f>INDEX(#REF!,MATCH(Composições!A5060,#REF!,0),2)</f>
        <v>#REF!</v>
      </c>
      <c r="C5060" s="41"/>
      <c r="D5060" s="26" t="e">
        <f>TRIM(INDEX(#REF!,MATCH(Composições!A5060,#REF!,0),1))</f>
        <v>#REF!</v>
      </c>
      <c r="E5060" s="27"/>
      <c r="F5060" s="49" t="s">
        <v>560</v>
      </c>
      <c r="G5060" s="28" t="str">
        <f t="shared" si="87"/>
        <v/>
      </c>
      <c r="H5060" s="29"/>
      <c r="I5060" s="30"/>
      <c r="J5060" s="155">
        <v>0</v>
      </c>
    </row>
    <row r="5061" spans="1:10" ht="15" hidden="1" thickBot="1" x14ac:dyDescent="0.35">
      <c r="A5061" s="227"/>
      <c r="B5061" s="224"/>
      <c r="C5061" s="32"/>
      <c r="D5061" s="32"/>
      <c r="E5061" s="33"/>
      <c r="F5061" s="54" t="s">
        <v>560</v>
      </c>
      <c r="G5061" s="54" t="str">
        <f t="shared" si="87"/>
        <v/>
      </c>
      <c r="H5061" s="73"/>
      <c r="I5061" s="74"/>
      <c r="J5061" s="155">
        <v>0</v>
      </c>
    </row>
    <row r="5062" spans="1:10" ht="15" hidden="1" thickBot="1" x14ac:dyDescent="0.35">
      <c r="A5062" s="227"/>
      <c r="B5062" s="224"/>
      <c r="C5062" s="36" t="s">
        <v>338</v>
      </c>
      <c r="D5062" s="36" t="s">
        <v>292</v>
      </c>
      <c r="E5062" s="37">
        <v>9.4999999999999998E-3</v>
      </c>
      <c r="F5062" s="31">
        <v>11.4665</v>
      </c>
      <c r="G5062" s="54">
        <f t="shared" si="87"/>
        <v>0.10893174999999999</v>
      </c>
      <c r="H5062" s="39">
        <f>SUM(G5062:G5065)</f>
        <v>67.080584749999986</v>
      </c>
      <c r="I5062" s="40"/>
      <c r="J5062" s="155">
        <v>0</v>
      </c>
    </row>
    <row r="5063" spans="1:10" ht="15" hidden="1" thickBot="1" x14ac:dyDescent="0.35">
      <c r="A5063" s="227"/>
      <c r="B5063" s="224"/>
      <c r="C5063" s="36" t="s">
        <v>1197</v>
      </c>
      <c r="D5063" s="36" t="s">
        <v>292</v>
      </c>
      <c r="E5063" s="37">
        <v>1</v>
      </c>
      <c r="F5063" s="31">
        <v>39.558999999999997</v>
      </c>
      <c r="G5063" s="54">
        <f t="shared" si="87"/>
        <v>39.558999999999997</v>
      </c>
      <c r="H5063" s="73"/>
      <c r="I5063" s="74"/>
      <c r="J5063" s="155">
        <v>0</v>
      </c>
    </row>
    <row r="5064" spans="1:10" ht="27" hidden="1" thickBot="1" x14ac:dyDescent="0.35">
      <c r="A5064" s="227"/>
      <c r="B5064" s="224"/>
      <c r="C5064" s="36" t="s">
        <v>994</v>
      </c>
      <c r="D5064" s="47" t="s">
        <v>744</v>
      </c>
      <c r="E5064" s="37">
        <v>0.77449999999999997</v>
      </c>
      <c r="F5064" s="31">
        <v>15.4955</v>
      </c>
      <c r="G5064" s="54">
        <f t="shared" si="87"/>
        <v>12.001264749999999</v>
      </c>
      <c r="H5064" s="73"/>
      <c r="I5064" s="74"/>
      <c r="J5064" s="155">
        <v>0</v>
      </c>
    </row>
    <row r="5065" spans="1:10" ht="27" hidden="1" thickBot="1" x14ac:dyDescent="0.35">
      <c r="A5065" s="227"/>
      <c r="B5065" s="224"/>
      <c r="C5065" s="36" t="s">
        <v>995</v>
      </c>
      <c r="D5065" s="36" t="s">
        <v>744</v>
      </c>
      <c r="E5065" s="37">
        <v>0.77449999999999997</v>
      </c>
      <c r="F5065" s="31">
        <v>19.898499999999999</v>
      </c>
      <c r="G5065" s="54">
        <f t="shared" si="87"/>
        <v>15.411388249999998</v>
      </c>
      <c r="H5065" s="73"/>
      <c r="I5065" s="74"/>
      <c r="J5065" s="155">
        <v>0</v>
      </c>
    </row>
    <row r="5066" spans="1:10" ht="15" hidden="1" thickBot="1" x14ac:dyDescent="0.35">
      <c r="A5066" s="227"/>
      <c r="B5066" s="224"/>
      <c r="C5066" s="36"/>
      <c r="D5066" s="47"/>
      <c r="E5066" s="37"/>
      <c r="F5066" s="54" t="s">
        <v>560</v>
      </c>
      <c r="G5066" s="54" t="str">
        <f t="shared" si="87"/>
        <v/>
      </c>
      <c r="H5066" s="73"/>
      <c r="I5066" s="74"/>
      <c r="J5066" s="155">
        <v>0</v>
      </c>
    </row>
    <row r="5067" spans="1:10" ht="15" hidden="1" thickBot="1" x14ac:dyDescent="0.35">
      <c r="A5067" s="226" t="s">
        <v>1992</v>
      </c>
      <c r="B5067" s="223" t="e">
        <f>INDEX(#REF!,MATCH(Composições!A5067,#REF!,0),2)</f>
        <v>#REF!</v>
      </c>
      <c r="C5067" s="41"/>
      <c r="D5067" s="26" t="e">
        <f>TRIM(INDEX(#REF!,MATCH(Composições!A5067,#REF!,0),1))</f>
        <v>#REF!</v>
      </c>
      <c r="E5067" s="27"/>
      <c r="F5067" s="49" t="s">
        <v>560</v>
      </c>
      <c r="G5067" s="28" t="str">
        <f t="shared" si="87"/>
        <v/>
      </c>
      <c r="H5067" s="29"/>
      <c r="I5067" s="30"/>
      <c r="J5067" s="155">
        <v>0</v>
      </c>
    </row>
    <row r="5068" spans="1:10" ht="15" hidden="1" thickBot="1" x14ac:dyDescent="0.35">
      <c r="A5068" s="227"/>
      <c r="B5068" s="224"/>
      <c r="C5068" s="32"/>
      <c r="D5068" s="32"/>
      <c r="E5068" s="33"/>
      <c r="F5068" s="54" t="s">
        <v>560</v>
      </c>
      <c r="G5068" s="54" t="str">
        <f t="shared" si="87"/>
        <v/>
      </c>
      <c r="H5068" s="73"/>
      <c r="I5068" s="74"/>
      <c r="J5068" s="155">
        <v>0</v>
      </c>
    </row>
    <row r="5069" spans="1:10" ht="15" hidden="1" thickBot="1" x14ac:dyDescent="0.35">
      <c r="A5069" s="227"/>
      <c r="B5069" s="224"/>
      <c r="C5069" s="36" t="s">
        <v>338</v>
      </c>
      <c r="D5069" s="36" t="s">
        <v>292</v>
      </c>
      <c r="E5069" s="37">
        <v>5.7000000000000002E-2</v>
      </c>
      <c r="F5069" s="31">
        <v>11.4665</v>
      </c>
      <c r="G5069" s="54">
        <f t="shared" si="87"/>
        <v>0.65359049999999996</v>
      </c>
      <c r="H5069" s="39">
        <f>SUM(G5069:G5072)</f>
        <v>30.632308500000001</v>
      </c>
      <c r="I5069" s="40"/>
      <c r="J5069" s="155">
        <v>0</v>
      </c>
    </row>
    <row r="5070" spans="1:10" ht="15" hidden="1" thickBot="1" x14ac:dyDescent="0.35">
      <c r="A5070" s="227"/>
      <c r="B5070" s="224"/>
      <c r="C5070" s="36" t="s">
        <v>1993</v>
      </c>
      <c r="D5070" s="36" t="s">
        <v>292</v>
      </c>
      <c r="E5070" s="37">
        <v>1</v>
      </c>
      <c r="F5070" s="31" t="s">
        <v>560</v>
      </c>
      <c r="G5070" s="54" t="str">
        <f t="shared" si="87"/>
        <v/>
      </c>
      <c r="H5070" s="73"/>
      <c r="I5070" s="74"/>
      <c r="J5070" s="155">
        <v>0</v>
      </c>
    </row>
    <row r="5071" spans="1:10" ht="27" hidden="1" thickBot="1" x14ac:dyDescent="0.35">
      <c r="A5071" s="227"/>
      <c r="B5071" s="224"/>
      <c r="C5071" s="36" t="s">
        <v>994</v>
      </c>
      <c r="D5071" s="47" t="s">
        <v>744</v>
      </c>
      <c r="E5071" s="37">
        <v>0.84699999999999998</v>
      </c>
      <c r="F5071" s="31">
        <v>15.4955</v>
      </c>
      <c r="G5071" s="54">
        <f t="shared" si="87"/>
        <v>13.1246885</v>
      </c>
      <c r="H5071" s="73"/>
      <c r="I5071" s="74"/>
      <c r="J5071" s="155">
        <v>0</v>
      </c>
    </row>
    <row r="5072" spans="1:10" ht="27" hidden="1" thickBot="1" x14ac:dyDescent="0.35">
      <c r="A5072" s="227"/>
      <c r="B5072" s="224"/>
      <c r="C5072" s="36" t="s">
        <v>995</v>
      </c>
      <c r="D5072" s="36" t="s">
        <v>744</v>
      </c>
      <c r="E5072" s="37">
        <v>0.84699999999999998</v>
      </c>
      <c r="F5072" s="31">
        <v>19.898499999999999</v>
      </c>
      <c r="G5072" s="54">
        <f t="shared" si="87"/>
        <v>16.854029499999999</v>
      </c>
      <c r="H5072" s="73"/>
      <c r="I5072" s="74"/>
      <c r="J5072" s="155">
        <v>0</v>
      </c>
    </row>
    <row r="5073" spans="1:10" ht="15" hidden="1" thickBot="1" x14ac:dyDescent="0.35">
      <c r="A5073" s="227"/>
      <c r="B5073" s="224"/>
      <c r="C5073" s="36"/>
      <c r="D5073" s="47"/>
      <c r="E5073" s="37"/>
      <c r="F5073" s="54" t="s">
        <v>560</v>
      </c>
      <c r="G5073" s="54" t="str">
        <f t="shared" si="87"/>
        <v/>
      </c>
      <c r="H5073" s="73"/>
      <c r="I5073" s="74"/>
      <c r="J5073" s="155">
        <v>0</v>
      </c>
    </row>
    <row r="5074" spans="1:10" ht="15" hidden="1" thickBot="1" x14ac:dyDescent="0.35">
      <c r="A5074" s="226" t="s">
        <v>1994</v>
      </c>
      <c r="B5074" s="223" t="e">
        <f>INDEX(#REF!,MATCH(Composições!A5074,#REF!,0),2)</f>
        <v>#REF!</v>
      </c>
      <c r="C5074" s="41"/>
      <c r="D5074" s="26" t="e">
        <f>TRIM(INDEX(#REF!,MATCH(Composições!A5074,#REF!,0),1))</f>
        <v>#REF!</v>
      </c>
      <c r="E5074" s="27"/>
      <c r="F5074" s="49" t="s">
        <v>560</v>
      </c>
      <c r="G5074" s="28" t="str">
        <f t="shared" si="87"/>
        <v/>
      </c>
      <c r="H5074" s="29"/>
      <c r="I5074" s="30"/>
      <c r="J5074" s="155">
        <v>0</v>
      </c>
    </row>
    <row r="5075" spans="1:10" ht="15" hidden="1" thickBot="1" x14ac:dyDescent="0.35">
      <c r="A5075" s="227"/>
      <c r="B5075" s="224"/>
      <c r="C5075" s="32"/>
      <c r="D5075" s="32"/>
      <c r="E5075" s="33"/>
      <c r="F5075" s="54" t="s">
        <v>560</v>
      </c>
      <c r="G5075" s="54" t="str">
        <f t="shared" si="87"/>
        <v/>
      </c>
      <c r="H5075" s="73"/>
      <c r="I5075" s="74"/>
      <c r="J5075" s="155">
        <v>0</v>
      </c>
    </row>
    <row r="5076" spans="1:10" ht="15" hidden="1" thickBot="1" x14ac:dyDescent="0.35">
      <c r="A5076" s="227"/>
      <c r="B5076" s="224"/>
      <c r="C5076" s="36" t="s">
        <v>2014</v>
      </c>
      <c r="D5076" s="36" t="s">
        <v>93</v>
      </c>
      <c r="E5076" s="37">
        <v>1.05</v>
      </c>
      <c r="F5076" s="31" t="s">
        <v>560</v>
      </c>
      <c r="G5076" s="54" t="str">
        <f t="shared" si="87"/>
        <v/>
      </c>
      <c r="H5076" s="39">
        <f>SUM(G5076:G5078)</f>
        <v>2.5890353999999998</v>
      </c>
      <c r="I5076" s="40"/>
      <c r="J5076" s="155">
        <v>0</v>
      </c>
    </row>
    <row r="5077" spans="1:10" ht="15" hidden="1" thickBot="1" x14ac:dyDescent="0.35">
      <c r="A5077" s="227"/>
      <c r="B5077" s="224"/>
      <c r="C5077" s="36" t="s">
        <v>1214</v>
      </c>
      <c r="D5077" s="47" t="s">
        <v>744</v>
      </c>
      <c r="E5077" s="37">
        <v>7.1099999999999997E-2</v>
      </c>
      <c r="F5077" s="31">
        <v>15.928999999999998</v>
      </c>
      <c r="G5077" s="54">
        <f t="shared" si="87"/>
        <v>1.1325518999999999</v>
      </c>
      <c r="H5077" s="73"/>
      <c r="I5077" s="74"/>
      <c r="J5077" s="155">
        <v>0</v>
      </c>
    </row>
    <row r="5078" spans="1:10" ht="15" hidden="1" thickBot="1" x14ac:dyDescent="0.35">
      <c r="A5078" s="227"/>
      <c r="B5078" s="224"/>
      <c r="C5078" s="36" t="s">
        <v>1215</v>
      </c>
      <c r="D5078" s="36" t="s">
        <v>744</v>
      </c>
      <c r="E5078" s="37">
        <v>7.1099999999999997E-2</v>
      </c>
      <c r="F5078" s="31">
        <v>20.484999999999999</v>
      </c>
      <c r="G5078" s="54">
        <f t="shared" si="87"/>
        <v>1.4564834999999998</v>
      </c>
      <c r="H5078" s="73"/>
      <c r="I5078" s="74"/>
      <c r="J5078" s="155">
        <v>0</v>
      </c>
    </row>
    <row r="5079" spans="1:10" ht="15" hidden="1" thickBot="1" x14ac:dyDescent="0.35">
      <c r="A5079" s="227"/>
      <c r="B5079" s="224"/>
      <c r="C5079" s="36"/>
      <c r="D5079" s="47"/>
      <c r="E5079" s="37"/>
      <c r="F5079" s="54" t="s">
        <v>560</v>
      </c>
      <c r="G5079" s="54" t="str">
        <f t="shared" si="87"/>
        <v/>
      </c>
      <c r="H5079" s="73"/>
      <c r="I5079" s="74"/>
      <c r="J5079" s="155">
        <v>0</v>
      </c>
    </row>
    <row r="5080" spans="1:10" ht="15" hidden="1" thickBot="1" x14ac:dyDescent="0.35">
      <c r="A5080" s="226" t="s">
        <v>1995</v>
      </c>
      <c r="B5080" s="223" t="e">
        <f>INDEX(#REF!,MATCH(Composições!A5080,#REF!,0),2)</f>
        <v>#REF!</v>
      </c>
      <c r="C5080" s="41"/>
      <c r="D5080" s="26" t="e">
        <f>TRIM(INDEX(#REF!,MATCH(Composições!A5080,#REF!,0),1))</f>
        <v>#REF!</v>
      </c>
      <c r="E5080" s="27"/>
      <c r="F5080" s="49" t="s">
        <v>560</v>
      </c>
      <c r="G5080" s="28" t="str">
        <f t="shared" si="87"/>
        <v/>
      </c>
      <c r="H5080" s="29"/>
      <c r="I5080" s="30"/>
      <c r="J5080" s="155">
        <v>0</v>
      </c>
    </row>
    <row r="5081" spans="1:10" ht="15" hidden="1" thickBot="1" x14ac:dyDescent="0.35">
      <c r="A5081" s="227"/>
      <c r="B5081" s="224"/>
      <c r="C5081" s="32"/>
      <c r="D5081" s="32"/>
      <c r="E5081" s="33"/>
      <c r="F5081" s="54" t="s">
        <v>560</v>
      </c>
      <c r="G5081" s="54" t="str">
        <f t="shared" si="87"/>
        <v/>
      </c>
      <c r="H5081" s="73"/>
      <c r="I5081" s="74"/>
      <c r="J5081" s="155">
        <v>0</v>
      </c>
    </row>
    <row r="5082" spans="1:10" ht="15" hidden="1" thickBot="1" x14ac:dyDescent="0.35">
      <c r="A5082" s="227"/>
      <c r="B5082" s="224"/>
      <c r="C5082" s="36" t="s">
        <v>2015</v>
      </c>
      <c r="D5082" s="36" t="s">
        <v>93</v>
      </c>
      <c r="E5082" s="37">
        <v>1.05</v>
      </c>
      <c r="F5082" s="31" t="s">
        <v>560</v>
      </c>
      <c r="G5082" s="54" t="str">
        <f t="shared" si="87"/>
        <v/>
      </c>
      <c r="H5082" s="39">
        <f>SUM(G5082:G5084)</f>
        <v>5.0542631999999994</v>
      </c>
      <c r="I5082" s="40"/>
      <c r="J5082" s="155">
        <v>0</v>
      </c>
    </row>
    <row r="5083" spans="1:10" ht="15" hidden="1" thickBot="1" x14ac:dyDescent="0.35">
      <c r="A5083" s="227"/>
      <c r="B5083" s="224"/>
      <c r="C5083" s="36" t="s">
        <v>1214</v>
      </c>
      <c r="D5083" s="47" t="s">
        <v>744</v>
      </c>
      <c r="E5083" s="37">
        <v>0.13880000000000001</v>
      </c>
      <c r="F5083" s="31">
        <v>15.928999999999998</v>
      </c>
      <c r="G5083" s="54">
        <f t="shared" si="87"/>
        <v>2.2109451999999998</v>
      </c>
      <c r="H5083" s="73"/>
      <c r="I5083" s="74"/>
      <c r="J5083" s="155">
        <v>0</v>
      </c>
    </row>
    <row r="5084" spans="1:10" ht="15" hidden="1" thickBot="1" x14ac:dyDescent="0.35">
      <c r="A5084" s="227"/>
      <c r="B5084" s="224"/>
      <c r="C5084" s="36" t="s">
        <v>1215</v>
      </c>
      <c r="D5084" s="36" t="s">
        <v>744</v>
      </c>
      <c r="E5084" s="37">
        <v>0.13880000000000001</v>
      </c>
      <c r="F5084" s="31">
        <v>20.484999999999999</v>
      </c>
      <c r="G5084" s="54">
        <f t="shared" si="87"/>
        <v>2.843318</v>
      </c>
      <c r="H5084" s="73"/>
      <c r="I5084" s="74"/>
      <c r="J5084" s="155">
        <v>0</v>
      </c>
    </row>
    <row r="5085" spans="1:10" ht="15" hidden="1" thickBot="1" x14ac:dyDescent="0.35">
      <c r="A5085" s="227"/>
      <c r="B5085" s="224"/>
      <c r="C5085" s="36"/>
      <c r="D5085" s="47"/>
      <c r="E5085" s="37"/>
      <c r="F5085" s="54" t="s">
        <v>560</v>
      </c>
      <c r="G5085" s="54" t="str">
        <f t="shared" ref="G5085:G5148" si="90">IF(ISNUMBER(F5085),E5085*F5085,"")</f>
        <v/>
      </c>
      <c r="H5085" s="73"/>
      <c r="I5085" s="74"/>
      <c r="J5085" s="155">
        <v>0</v>
      </c>
    </row>
    <row r="5086" spans="1:10" ht="15" thickBot="1" x14ac:dyDescent="0.35">
      <c r="A5086" s="226" t="s">
        <v>1996</v>
      </c>
      <c r="B5086" s="233" t="str">
        <f>INDEX(Orçamentária!A:B,MATCH(Composições!A5086,Orçamentária!A:A,0),2)</f>
        <v>Eletroduto PEAD 1 1/4" - fornecimento e instalação</v>
      </c>
      <c r="C5086" s="41"/>
      <c r="D5086" s="26" t="str">
        <f>TRIM(INDEX(Orçamentária!C:C,MATCH(Composições!A5086,Orçamentária!A:A,0),1))</f>
        <v>m</v>
      </c>
      <c r="E5086" s="27"/>
      <c r="F5086" s="42" t="s">
        <v>560</v>
      </c>
      <c r="G5086" s="28" t="str">
        <f t="shared" si="90"/>
        <v/>
      </c>
      <c r="H5086" s="29"/>
      <c r="I5086" s="30"/>
      <c r="J5086" s="155">
        <v>115</v>
      </c>
    </row>
    <row r="5087" spans="1:10" x14ac:dyDescent="0.3">
      <c r="A5087" s="229"/>
      <c r="B5087" s="234"/>
      <c r="C5087" s="32"/>
      <c r="D5087" s="32"/>
      <c r="E5087" s="33"/>
      <c r="F5087" s="43" t="s">
        <v>560</v>
      </c>
      <c r="G5087" s="31" t="str">
        <f t="shared" si="90"/>
        <v/>
      </c>
      <c r="H5087" s="35"/>
      <c r="I5087" s="31"/>
      <c r="J5087" s="155">
        <v>115</v>
      </c>
    </row>
    <row r="5088" spans="1:10" ht="39.6" x14ac:dyDescent="0.3">
      <c r="A5088" s="229"/>
      <c r="B5088" s="234"/>
      <c r="C5088" s="36" t="s">
        <v>1784</v>
      </c>
      <c r="D5088" s="36" t="s">
        <v>515</v>
      </c>
      <c r="E5088" s="37">
        <v>1.1000000000000001</v>
      </c>
      <c r="F5088" s="31">
        <v>3.4935</v>
      </c>
      <c r="G5088" s="34">
        <f t="shared" si="90"/>
        <v>3.8428500000000003</v>
      </c>
      <c r="H5088" s="39">
        <f>SUM(G5088:G5091)</f>
        <v>10.2480335</v>
      </c>
      <c r="I5088" s="40"/>
      <c r="J5088" s="155">
        <v>115</v>
      </c>
    </row>
    <row r="5089" spans="1:10" x14ac:dyDescent="0.3">
      <c r="A5089" s="229"/>
      <c r="B5089" s="234"/>
      <c r="C5089" s="36" t="s">
        <v>1214</v>
      </c>
      <c r="D5089" s="36" t="s">
        <v>744</v>
      </c>
      <c r="E5089" s="37">
        <v>0.113</v>
      </c>
      <c r="F5089" s="34">
        <v>15.928999999999998</v>
      </c>
      <c r="G5089" s="31">
        <f t="shared" si="90"/>
        <v>1.7999769999999999</v>
      </c>
      <c r="H5089" s="35"/>
      <c r="I5089" s="31"/>
      <c r="J5089" s="155">
        <v>115</v>
      </c>
    </row>
    <row r="5090" spans="1:10" x14ac:dyDescent="0.3">
      <c r="A5090" s="229"/>
      <c r="B5090" s="234"/>
      <c r="C5090" s="36" t="s">
        <v>1215</v>
      </c>
      <c r="D5090" s="36" t="s">
        <v>744</v>
      </c>
      <c r="E5090" s="37">
        <v>0.113</v>
      </c>
      <c r="F5090" s="31">
        <v>20.484999999999999</v>
      </c>
      <c r="G5090" s="34">
        <f t="shared" si="90"/>
        <v>2.3148050000000002</v>
      </c>
      <c r="H5090" s="35"/>
      <c r="I5090" s="31"/>
      <c r="J5090" s="155">
        <v>115</v>
      </c>
    </row>
    <row r="5091" spans="1:10" ht="52.8" x14ac:dyDescent="0.3">
      <c r="A5091" s="229"/>
      <c r="B5091" s="234"/>
      <c r="C5091" s="36" t="s">
        <v>1682</v>
      </c>
      <c r="D5091" s="36" t="s">
        <v>515</v>
      </c>
      <c r="E5091" s="37">
        <v>1</v>
      </c>
      <c r="F5091" s="34">
        <v>2.2904014999999998</v>
      </c>
      <c r="G5091" s="31">
        <f t="shared" si="90"/>
        <v>2.2904014999999998</v>
      </c>
      <c r="H5091" s="35"/>
      <c r="I5091" s="31"/>
      <c r="J5091" s="155">
        <v>115</v>
      </c>
    </row>
    <row r="5092" spans="1:10" ht="15" thickBot="1" x14ac:dyDescent="0.35">
      <c r="A5092" s="230"/>
      <c r="B5092" s="235"/>
      <c r="C5092" s="36"/>
      <c r="D5092" s="36"/>
      <c r="E5092" s="37"/>
      <c r="F5092" s="31" t="s">
        <v>560</v>
      </c>
      <c r="G5092" s="31" t="str">
        <f t="shared" si="90"/>
        <v/>
      </c>
      <c r="H5092" s="35"/>
      <c r="I5092" s="31"/>
      <c r="J5092" s="155">
        <v>115</v>
      </c>
    </row>
    <row r="5093" spans="1:10" ht="15" hidden="1" thickBot="1" x14ac:dyDescent="0.35">
      <c r="A5093" s="220" t="s">
        <v>1997</v>
      </c>
      <c r="B5093" s="233" t="e">
        <f>INDEX(#REF!,MATCH(Composições!A5093,#REF!,0),2)</f>
        <v>#REF!</v>
      </c>
      <c r="C5093" s="41"/>
      <c r="D5093" s="26" t="e">
        <f>TRIM(INDEX(#REF!,MATCH(Composições!A5093,#REF!,0),1))</f>
        <v>#REF!</v>
      </c>
      <c r="E5093" s="27"/>
      <c r="F5093" s="42" t="s">
        <v>560</v>
      </c>
      <c r="G5093" s="28" t="str">
        <f t="shared" si="90"/>
        <v/>
      </c>
      <c r="H5093" s="29"/>
      <c r="I5093" s="30"/>
      <c r="J5093" s="155">
        <v>0</v>
      </c>
    </row>
    <row r="5094" spans="1:10" ht="15" hidden="1" thickBot="1" x14ac:dyDescent="0.35">
      <c r="A5094" s="231"/>
      <c r="B5094" s="234"/>
      <c r="C5094" s="32"/>
      <c r="D5094" s="32"/>
      <c r="E5094" s="33"/>
      <c r="F5094" s="43" t="s">
        <v>560</v>
      </c>
      <c r="G5094" s="31" t="str">
        <f t="shared" si="90"/>
        <v/>
      </c>
      <c r="H5094" s="35"/>
      <c r="I5094" s="31"/>
      <c r="J5094" s="155">
        <v>0</v>
      </c>
    </row>
    <row r="5095" spans="1:10" ht="53.4" hidden="1" thickBot="1" x14ac:dyDescent="0.35">
      <c r="A5095" s="231"/>
      <c r="B5095" s="234"/>
      <c r="C5095" s="36" t="s">
        <v>1655</v>
      </c>
      <c r="D5095" s="36" t="s">
        <v>983</v>
      </c>
      <c r="E5095" s="37">
        <f>ROUND(0.0087*3.33,4)</f>
        <v>2.9000000000000001E-2</v>
      </c>
      <c r="F5095" s="31">
        <v>90.414500000000004</v>
      </c>
      <c r="G5095" s="34">
        <f t="shared" si="90"/>
        <v>2.6220205000000001</v>
      </c>
      <c r="H5095" s="39">
        <f>SUM(G5095:G5103)</f>
        <v>1488.8276984950487</v>
      </c>
      <c r="I5095" s="40"/>
      <c r="J5095" s="155">
        <v>0</v>
      </c>
    </row>
    <row r="5096" spans="1:10" ht="53.4" hidden="1" thickBot="1" x14ac:dyDescent="0.35">
      <c r="A5096" s="231"/>
      <c r="B5096" s="234"/>
      <c r="C5096" s="36" t="s">
        <v>1663</v>
      </c>
      <c r="D5096" s="36" t="s">
        <v>985</v>
      </c>
      <c r="E5096" s="37">
        <f>ROUND(0.0294*3.33,4)</f>
        <v>9.7900000000000001E-2</v>
      </c>
      <c r="F5096" s="31">
        <v>36.158999999999999</v>
      </c>
      <c r="G5096" s="34">
        <f t="shared" si="90"/>
        <v>3.5399661</v>
      </c>
      <c r="H5096" s="35"/>
      <c r="I5096" s="31"/>
      <c r="J5096" s="155">
        <v>0</v>
      </c>
    </row>
    <row r="5097" spans="1:10" ht="15" hidden="1" thickBot="1" x14ac:dyDescent="0.35">
      <c r="A5097" s="231"/>
      <c r="B5097" s="234"/>
      <c r="C5097" s="36" t="s">
        <v>1924</v>
      </c>
      <c r="D5097" s="36" t="s">
        <v>292</v>
      </c>
      <c r="E5097" s="37">
        <f>ROUND(169.8027*3.33,4)</f>
        <v>565.44299999999998</v>
      </c>
      <c r="F5097" s="34">
        <v>0.59499999999999997</v>
      </c>
      <c r="G5097" s="31">
        <f t="shared" si="90"/>
        <v>336.43858499999999</v>
      </c>
      <c r="H5097" s="35"/>
      <c r="I5097" s="31"/>
      <c r="J5097" s="155">
        <v>0</v>
      </c>
    </row>
    <row r="5098" spans="1:10" ht="40.200000000000003" hidden="1" thickBot="1" x14ac:dyDescent="0.35">
      <c r="A5098" s="231"/>
      <c r="B5098" s="234"/>
      <c r="C5098" s="36" t="s">
        <v>1045</v>
      </c>
      <c r="D5098" s="36" t="s">
        <v>122</v>
      </c>
      <c r="E5098" s="37">
        <f>ROUND(0.0014*3.33,4)</f>
        <v>4.7000000000000002E-3</v>
      </c>
      <c r="F5098" s="31">
        <v>396.96666423299996</v>
      </c>
      <c r="G5098" s="34">
        <f t="shared" si="90"/>
        <v>1.8657433218950998</v>
      </c>
      <c r="H5098" s="35"/>
      <c r="I5098" s="40"/>
      <c r="J5098" s="155">
        <v>0</v>
      </c>
    </row>
    <row r="5099" spans="1:10" ht="15" hidden="1" thickBot="1" x14ac:dyDescent="0.35">
      <c r="A5099" s="231"/>
      <c r="B5099" s="234"/>
      <c r="C5099" s="36" t="s">
        <v>752</v>
      </c>
      <c r="D5099" s="36" t="s">
        <v>744</v>
      </c>
      <c r="E5099" s="37">
        <f>ROUND(5.4392*3.33,4)</f>
        <v>18.112500000000001</v>
      </c>
      <c r="F5099" s="31">
        <v>20.314999999999998</v>
      </c>
      <c r="G5099" s="34">
        <f t="shared" si="90"/>
        <v>367.95543749999996</v>
      </c>
      <c r="H5099" s="35"/>
      <c r="I5099" s="31"/>
      <c r="J5099" s="155">
        <v>0</v>
      </c>
    </row>
    <row r="5100" spans="1:10" ht="15" hidden="1" thickBot="1" x14ac:dyDescent="0.35">
      <c r="A5100" s="231"/>
      <c r="B5100" s="234"/>
      <c r="C5100" s="36" t="s">
        <v>745</v>
      </c>
      <c r="D5100" s="36" t="s">
        <v>744</v>
      </c>
      <c r="E5100" s="37">
        <f>ROUND(5.4392*3.33,4)</f>
        <v>18.112500000000001</v>
      </c>
      <c r="F5100" s="34">
        <v>14.968499999999999</v>
      </c>
      <c r="G5100" s="31">
        <f t="shared" si="90"/>
        <v>271.11695624999999</v>
      </c>
      <c r="H5100" s="35"/>
      <c r="I5100" s="31"/>
      <c r="J5100" s="155">
        <v>0</v>
      </c>
    </row>
    <row r="5101" spans="1:10" ht="27" hidden="1" thickBot="1" x14ac:dyDescent="0.35">
      <c r="A5101" s="231"/>
      <c r="B5101" s="234"/>
      <c r="C5101" s="36" t="s">
        <v>1690</v>
      </c>
      <c r="D5101" s="36" t="s">
        <v>122</v>
      </c>
      <c r="E5101" s="37">
        <f>ROUND(0.1012*3.33,4)</f>
        <v>0.33700000000000002</v>
      </c>
      <c r="F5101" s="31">
        <v>405.61079444050006</v>
      </c>
      <c r="G5101" s="34">
        <f t="shared" si="90"/>
        <v>136.69083772644854</v>
      </c>
      <c r="H5101" s="35"/>
      <c r="I5101" s="40"/>
      <c r="J5101" s="155">
        <v>0</v>
      </c>
    </row>
    <row r="5102" spans="1:10" ht="27" hidden="1" thickBot="1" x14ac:dyDescent="0.35">
      <c r="A5102" s="231"/>
      <c r="B5102" s="234"/>
      <c r="C5102" s="36" t="s">
        <v>1681</v>
      </c>
      <c r="D5102" s="36" t="s">
        <v>122</v>
      </c>
      <c r="E5102" s="37">
        <f>ROUND(0.0448*3.33,4)</f>
        <v>0.1492</v>
      </c>
      <c r="F5102" s="31">
        <v>1992.8849412993961</v>
      </c>
      <c r="G5102" s="34">
        <f t="shared" si="90"/>
        <v>297.33843324186989</v>
      </c>
      <c r="H5102" s="35"/>
      <c r="I5102" s="31"/>
      <c r="J5102" s="155">
        <v>0</v>
      </c>
    </row>
    <row r="5103" spans="1:10" ht="27" hidden="1" thickBot="1" x14ac:dyDescent="0.35">
      <c r="A5103" s="231"/>
      <c r="B5103" s="234"/>
      <c r="C5103" s="36" t="s">
        <v>2022</v>
      </c>
      <c r="D5103" s="36" t="s">
        <v>122</v>
      </c>
      <c r="E5103" s="37">
        <f>ROUND(0.081*3.33,4)</f>
        <v>0.2697</v>
      </c>
      <c r="F5103" s="34">
        <v>264.21846071500005</v>
      </c>
      <c r="G5103" s="31">
        <f t="shared" si="90"/>
        <v>71.259718854835512</v>
      </c>
      <c r="H5103" s="35"/>
      <c r="I5103" s="31"/>
      <c r="J5103" s="155">
        <v>0</v>
      </c>
    </row>
    <row r="5104" spans="1:10" ht="15" hidden="1" thickBot="1" x14ac:dyDescent="0.35">
      <c r="A5104" s="232"/>
      <c r="B5104" s="235"/>
      <c r="C5104" s="36"/>
      <c r="D5104" s="36"/>
      <c r="E5104" s="37"/>
      <c r="F5104" s="31" t="s">
        <v>560</v>
      </c>
      <c r="G5104" s="31" t="str">
        <f t="shared" si="90"/>
        <v/>
      </c>
      <c r="H5104" s="35"/>
      <c r="I5104" s="31"/>
      <c r="J5104" s="155">
        <v>0</v>
      </c>
    </row>
    <row r="5105" spans="1:10" ht="15" hidden="1" thickBot="1" x14ac:dyDescent="0.35">
      <c r="A5105" s="226" t="s">
        <v>1998</v>
      </c>
      <c r="B5105" s="223" t="e">
        <f>INDEX(#REF!,MATCH(Composições!A5105,#REF!,0),2)</f>
        <v>#REF!</v>
      </c>
      <c r="C5105" s="41"/>
      <c r="D5105" s="26" t="e">
        <f>TRIM(INDEX(#REF!,MATCH(Composições!A5105,#REF!,0),1))</f>
        <v>#REF!</v>
      </c>
      <c r="E5105" s="27"/>
      <c r="F5105" s="42" t="s">
        <v>560</v>
      </c>
      <c r="G5105" s="28" t="str">
        <f t="shared" si="90"/>
        <v/>
      </c>
      <c r="H5105" s="29"/>
      <c r="I5105" s="30"/>
      <c r="J5105" s="155">
        <v>0</v>
      </c>
    </row>
    <row r="5106" spans="1:10" ht="15" hidden="1" thickBot="1" x14ac:dyDescent="0.35">
      <c r="A5106" s="229"/>
      <c r="B5106" s="224"/>
      <c r="C5106" s="32"/>
      <c r="D5106" s="32"/>
      <c r="E5106" s="33"/>
      <c r="F5106" s="43" t="s">
        <v>560</v>
      </c>
      <c r="G5106" s="31" t="str">
        <f t="shared" si="90"/>
        <v/>
      </c>
      <c r="H5106" s="35"/>
      <c r="I5106" s="31"/>
      <c r="J5106" s="155">
        <v>0</v>
      </c>
    </row>
    <row r="5107" spans="1:10" ht="15" hidden="1" thickBot="1" x14ac:dyDescent="0.35">
      <c r="A5107" s="229"/>
      <c r="B5107" s="224"/>
      <c r="C5107" s="36" t="s">
        <v>18</v>
      </c>
      <c r="D5107" s="36" t="s">
        <v>12</v>
      </c>
      <c r="E5107" s="37">
        <v>40</v>
      </c>
      <c r="F5107" s="31">
        <v>90.057500000000005</v>
      </c>
      <c r="G5107" s="34">
        <f t="shared" si="90"/>
        <v>3602.3</v>
      </c>
      <c r="H5107" s="39">
        <f>SUM(G5107:G5111)</f>
        <v>4743.1899999999996</v>
      </c>
      <c r="I5107" s="40"/>
      <c r="J5107" s="155">
        <v>0</v>
      </c>
    </row>
    <row r="5108" spans="1:10" ht="15" hidden="1" thickBot="1" x14ac:dyDescent="0.35">
      <c r="A5108" s="229"/>
      <c r="B5108" s="224"/>
      <c r="C5108" s="36" t="s">
        <v>1700</v>
      </c>
      <c r="D5108" s="36" t="s">
        <v>12</v>
      </c>
      <c r="E5108" s="37">
        <v>20</v>
      </c>
      <c r="F5108" s="31">
        <v>22.253</v>
      </c>
      <c r="G5108" s="34">
        <f t="shared" si="90"/>
        <v>445.06</v>
      </c>
      <c r="H5108" s="35"/>
      <c r="I5108" s="31"/>
      <c r="J5108" s="155">
        <v>0</v>
      </c>
    </row>
    <row r="5109" spans="1:10" ht="15" hidden="1" thickBot="1" x14ac:dyDescent="0.35">
      <c r="A5109" s="229"/>
      <c r="B5109" s="224"/>
      <c r="C5109" s="36" t="s">
        <v>1701</v>
      </c>
      <c r="D5109" s="36" t="s">
        <v>12</v>
      </c>
      <c r="E5109" s="37">
        <v>20</v>
      </c>
      <c r="F5109" s="31">
        <v>15.988499999999998</v>
      </c>
      <c r="G5109" s="34">
        <f t="shared" si="90"/>
        <v>319.77</v>
      </c>
      <c r="H5109" s="35"/>
      <c r="I5109" s="31"/>
      <c r="J5109" s="155">
        <v>0</v>
      </c>
    </row>
    <row r="5110" spans="1:10" ht="15" hidden="1" thickBot="1" x14ac:dyDescent="0.35">
      <c r="A5110" s="229"/>
      <c r="B5110" s="224"/>
      <c r="C5110" s="36" t="s">
        <v>1694</v>
      </c>
      <c r="D5110" s="36" t="s">
        <v>12</v>
      </c>
      <c r="E5110" s="37">
        <v>20</v>
      </c>
      <c r="F5110" s="31">
        <v>7.105999999999999</v>
      </c>
      <c r="G5110" s="34">
        <f t="shared" si="90"/>
        <v>142.11999999999998</v>
      </c>
      <c r="H5110" s="35"/>
      <c r="I5110" s="31"/>
      <c r="J5110" s="155">
        <v>0</v>
      </c>
    </row>
    <row r="5111" spans="1:10" ht="15" hidden="1" thickBot="1" x14ac:dyDescent="0.35">
      <c r="A5111" s="229"/>
      <c r="B5111" s="224"/>
      <c r="C5111" s="36" t="s">
        <v>19</v>
      </c>
      <c r="D5111" s="36" t="s">
        <v>20</v>
      </c>
      <c r="E5111" s="37">
        <v>1</v>
      </c>
      <c r="F5111" s="34">
        <v>233.94</v>
      </c>
      <c r="G5111" s="31">
        <f t="shared" si="90"/>
        <v>233.94</v>
      </c>
      <c r="H5111" s="35"/>
      <c r="I5111" s="31"/>
      <c r="J5111" s="155">
        <v>0</v>
      </c>
    </row>
    <row r="5112" spans="1:10" ht="15" hidden="1" thickBot="1" x14ac:dyDescent="0.35">
      <c r="A5112" s="230"/>
      <c r="B5112" s="225"/>
      <c r="C5112" s="36"/>
      <c r="D5112" s="36"/>
      <c r="E5112" s="37"/>
      <c r="F5112" s="31" t="s">
        <v>560</v>
      </c>
      <c r="G5112" s="31" t="str">
        <f t="shared" si="90"/>
        <v/>
      </c>
      <c r="H5112" s="35"/>
      <c r="I5112" s="31"/>
      <c r="J5112" s="155">
        <v>0</v>
      </c>
    </row>
    <row r="5113" spans="1:10" ht="15" thickBot="1" x14ac:dyDescent="0.35">
      <c r="A5113" s="226" t="s">
        <v>1999</v>
      </c>
      <c r="B5113" s="223" t="str">
        <f>INDEX(Orçamentária!A:B,MATCH(Composições!A5113,Orçamentária!A:A,0),2)</f>
        <v>Eletroduto PEAD 2”</v>
      </c>
      <c r="C5113" s="41"/>
      <c r="D5113" s="26" t="str">
        <f>TRIM(INDEX(Orçamentária!C:C,MATCH(Composições!A5113,Orçamentária!A:A,0),1))</f>
        <v>m</v>
      </c>
      <c r="E5113" s="27"/>
      <c r="F5113" s="42" t="s">
        <v>560</v>
      </c>
      <c r="G5113" s="28" t="str">
        <f t="shared" si="90"/>
        <v/>
      </c>
      <c r="H5113" s="29"/>
      <c r="I5113" s="30"/>
      <c r="J5113" s="155">
        <v>18</v>
      </c>
    </row>
    <row r="5114" spans="1:10" x14ac:dyDescent="0.3">
      <c r="A5114" s="229"/>
      <c r="B5114" s="224"/>
      <c r="C5114" s="32"/>
      <c r="D5114" s="32"/>
      <c r="E5114" s="33"/>
      <c r="F5114" s="43" t="s">
        <v>560</v>
      </c>
      <c r="G5114" s="31" t="str">
        <f t="shared" si="90"/>
        <v/>
      </c>
      <c r="H5114" s="35"/>
      <c r="I5114" s="31"/>
      <c r="J5114" s="155">
        <v>18</v>
      </c>
    </row>
    <row r="5115" spans="1:10" ht="39.6" x14ac:dyDescent="0.3">
      <c r="A5115" s="229"/>
      <c r="B5115" s="224"/>
      <c r="C5115" s="36" t="s">
        <v>1783</v>
      </c>
      <c r="D5115" s="36" t="s">
        <v>515</v>
      </c>
      <c r="E5115" s="37">
        <v>1.1000000000000001</v>
      </c>
      <c r="F5115" s="31">
        <v>5.7629999999999999</v>
      </c>
      <c r="G5115" s="34">
        <f t="shared" si="90"/>
        <v>6.3393000000000006</v>
      </c>
      <c r="H5115" s="39">
        <f>SUM(G5115:G5117)</f>
        <v>10.162770000000002</v>
      </c>
      <c r="I5115" s="40"/>
      <c r="J5115" s="155">
        <v>18</v>
      </c>
    </row>
    <row r="5116" spans="1:10" x14ac:dyDescent="0.3">
      <c r="A5116" s="229"/>
      <c r="B5116" s="224"/>
      <c r="C5116" s="36" t="s">
        <v>1214</v>
      </c>
      <c r="D5116" s="36" t="s">
        <v>744</v>
      </c>
      <c r="E5116" s="37">
        <v>0.105</v>
      </c>
      <c r="F5116" s="31">
        <v>15.928999999999998</v>
      </c>
      <c r="G5116" s="34">
        <f t="shared" si="90"/>
        <v>1.6725449999999997</v>
      </c>
      <c r="H5116" s="35"/>
      <c r="I5116" s="31"/>
      <c r="J5116" s="155">
        <v>18</v>
      </c>
    </row>
    <row r="5117" spans="1:10" x14ac:dyDescent="0.3">
      <c r="A5117" s="229"/>
      <c r="B5117" s="224"/>
      <c r="C5117" s="36" t="s">
        <v>1215</v>
      </c>
      <c r="D5117" s="36" t="s">
        <v>744</v>
      </c>
      <c r="E5117" s="37">
        <v>0.105</v>
      </c>
      <c r="F5117" s="34">
        <v>20.484999999999999</v>
      </c>
      <c r="G5117" s="31">
        <f t="shared" si="90"/>
        <v>2.150925</v>
      </c>
      <c r="H5117" s="35"/>
      <c r="I5117" s="31"/>
      <c r="J5117" s="155">
        <v>18</v>
      </c>
    </row>
    <row r="5118" spans="1:10" ht="15" thickBot="1" x14ac:dyDescent="0.35">
      <c r="A5118" s="230"/>
      <c r="B5118" s="225"/>
      <c r="C5118" s="36"/>
      <c r="D5118" s="36"/>
      <c r="E5118" s="37"/>
      <c r="F5118" s="31" t="s">
        <v>560</v>
      </c>
      <c r="G5118" s="31" t="str">
        <f t="shared" si="90"/>
        <v/>
      </c>
      <c r="H5118" s="35"/>
      <c r="I5118" s="31"/>
      <c r="J5118" s="155">
        <v>18</v>
      </c>
    </row>
    <row r="5119" spans="1:10" ht="15" thickBot="1" x14ac:dyDescent="0.35">
      <c r="A5119" s="226" t="s">
        <v>2001</v>
      </c>
      <c r="B5119" s="223" t="str">
        <f>INDEX(Orçamentária!A:B,MATCH(Composições!A5119,Orçamentária!A:A,0),2)</f>
        <v>Tampa em Ferro Fundido - Circular DN-600 mm Classe 400</v>
      </c>
      <c r="C5119" s="41"/>
      <c r="D5119" s="26" t="str">
        <f>TRIM(INDEX(Orçamentária!C:C,MATCH(Composições!A5119,Orçamentária!A:A,0),1))</f>
        <v>un</v>
      </c>
      <c r="E5119" s="27"/>
      <c r="F5119" s="49" t="s">
        <v>560</v>
      </c>
      <c r="G5119" s="28" t="str">
        <f t="shared" si="90"/>
        <v/>
      </c>
      <c r="H5119" s="29"/>
      <c r="I5119" s="30"/>
      <c r="J5119" s="155">
        <v>5</v>
      </c>
    </row>
    <row r="5120" spans="1:10" x14ac:dyDescent="0.3">
      <c r="A5120" s="227"/>
      <c r="B5120" s="224"/>
      <c r="C5120" s="161"/>
      <c r="D5120" s="161"/>
      <c r="E5120" s="162"/>
      <c r="F5120" s="54" t="s">
        <v>560</v>
      </c>
      <c r="G5120" s="54" t="str">
        <f t="shared" si="90"/>
        <v/>
      </c>
      <c r="H5120" s="73"/>
      <c r="I5120" s="74"/>
      <c r="J5120" s="155">
        <v>5</v>
      </c>
    </row>
    <row r="5121" spans="1:10" ht="26.4" x14ac:dyDescent="0.3">
      <c r="A5121" s="227"/>
      <c r="B5121" s="224"/>
      <c r="C5121" s="163" t="s">
        <v>1838</v>
      </c>
      <c r="D5121" s="163" t="s">
        <v>292</v>
      </c>
      <c r="E5121" s="164">
        <v>1</v>
      </c>
      <c r="F5121" s="31">
        <v>687.90499999999997</v>
      </c>
      <c r="G5121" s="54">
        <f t="shared" si="90"/>
        <v>687.90499999999997</v>
      </c>
      <c r="H5121" s="39">
        <f>SUM(G5121:G5124)</f>
        <v>722.05102094553808</v>
      </c>
      <c r="I5121" s="40"/>
      <c r="J5121" s="155">
        <v>5</v>
      </c>
    </row>
    <row r="5122" spans="1:10" x14ac:dyDescent="0.3">
      <c r="A5122" s="227"/>
      <c r="B5122" s="224"/>
      <c r="C5122" s="163" t="s">
        <v>752</v>
      </c>
      <c r="D5122" s="163" t="s">
        <v>744</v>
      </c>
      <c r="E5122" s="164">
        <v>1.0088999999999999</v>
      </c>
      <c r="F5122" s="31">
        <v>20.314999999999998</v>
      </c>
      <c r="G5122" s="54">
        <f t="shared" si="90"/>
        <v>20.495803499999997</v>
      </c>
      <c r="H5122" s="73"/>
      <c r="I5122" s="74"/>
      <c r="J5122" s="155">
        <v>5</v>
      </c>
    </row>
    <row r="5123" spans="1:10" x14ac:dyDescent="0.3">
      <c r="A5123" s="227"/>
      <c r="B5123" s="224"/>
      <c r="C5123" s="163" t="s">
        <v>745</v>
      </c>
      <c r="D5123" s="165" t="s">
        <v>744</v>
      </c>
      <c r="E5123" s="164">
        <v>0.79269999999999996</v>
      </c>
      <c r="F5123" s="31">
        <v>14.968499999999999</v>
      </c>
      <c r="G5123" s="54">
        <f t="shared" si="90"/>
        <v>11.865529949999999</v>
      </c>
      <c r="H5123" s="73"/>
      <c r="I5123" s="74"/>
      <c r="J5123" s="155">
        <v>5</v>
      </c>
    </row>
    <row r="5124" spans="1:10" ht="26.4" x14ac:dyDescent="0.3">
      <c r="A5124" s="227"/>
      <c r="B5124" s="224"/>
      <c r="C5124" s="163" t="s">
        <v>1690</v>
      </c>
      <c r="D5124" s="163" t="s">
        <v>122</v>
      </c>
      <c r="E5124" s="164">
        <v>4.4000000000000003E-3</v>
      </c>
      <c r="F5124" s="31">
        <v>405.61079444050006</v>
      </c>
      <c r="G5124" s="54">
        <f t="shared" si="90"/>
        <v>1.7846874955382004</v>
      </c>
      <c r="H5124" s="73"/>
      <c r="I5124" s="74"/>
      <c r="J5124" s="155">
        <v>5</v>
      </c>
    </row>
    <row r="5125" spans="1:10" ht="15" thickBot="1" x14ac:dyDescent="0.35">
      <c r="A5125" s="228"/>
      <c r="B5125" s="225"/>
      <c r="C5125" s="55"/>
      <c r="D5125" s="166"/>
      <c r="E5125" s="66"/>
      <c r="F5125" s="76" t="s">
        <v>560</v>
      </c>
      <c r="G5125" s="76" t="str">
        <f t="shared" si="90"/>
        <v/>
      </c>
      <c r="H5125" s="77"/>
      <c r="I5125" s="74"/>
      <c r="J5125" s="155">
        <v>5</v>
      </c>
    </row>
    <row r="5126" spans="1:10" ht="15" hidden="1" thickBot="1" x14ac:dyDescent="0.35">
      <c r="A5126" s="226" t="s">
        <v>2039</v>
      </c>
      <c r="B5126" s="223" t="e">
        <f>INDEX(#REF!,MATCH(Composições!A5126,#REF!,0),2)</f>
        <v>#REF!</v>
      </c>
      <c r="C5126" s="41"/>
      <c r="D5126" s="26" t="e">
        <f>TRIM(INDEX(#REF!,MATCH(Composições!A5126,#REF!,0),1))</f>
        <v>#REF!</v>
      </c>
      <c r="E5126" s="27"/>
      <c r="F5126" s="49" t="s">
        <v>560</v>
      </c>
      <c r="G5126" s="28" t="str">
        <f t="shared" si="90"/>
        <v/>
      </c>
      <c r="H5126" s="29"/>
      <c r="I5126" s="30"/>
      <c r="J5126" s="155">
        <v>0</v>
      </c>
    </row>
    <row r="5127" spans="1:10" ht="15" hidden="1" thickBot="1" x14ac:dyDescent="0.35">
      <c r="A5127" s="227"/>
      <c r="B5127" s="224"/>
      <c r="C5127" s="168"/>
      <c r="D5127" s="168"/>
      <c r="E5127" s="169"/>
      <c r="F5127" s="54" t="s">
        <v>560</v>
      </c>
      <c r="G5127" s="54" t="str">
        <f t="shared" si="90"/>
        <v/>
      </c>
      <c r="H5127" s="73"/>
      <c r="I5127" s="74"/>
      <c r="J5127" s="155">
        <v>0</v>
      </c>
    </row>
    <row r="5128" spans="1:10" ht="27" hidden="1" thickBot="1" x14ac:dyDescent="0.35">
      <c r="A5128" s="227"/>
      <c r="B5128" s="224"/>
      <c r="C5128" s="36" t="s">
        <v>1862</v>
      </c>
      <c r="D5128" s="36" t="s">
        <v>515</v>
      </c>
      <c r="E5128" s="37">
        <v>1.0216000000000001</v>
      </c>
      <c r="F5128" s="31">
        <v>16.949000000000002</v>
      </c>
      <c r="G5128" s="54">
        <f t="shared" si="90"/>
        <v>17.315098400000004</v>
      </c>
      <c r="H5128" s="39">
        <f>SUM(G5128:G5130)</f>
        <v>23.955225300000006</v>
      </c>
      <c r="I5128" s="40"/>
      <c r="J5128" s="155">
        <v>0</v>
      </c>
    </row>
    <row r="5129" spans="1:10" ht="27" hidden="1" thickBot="1" x14ac:dyDescent="0.35">
      <c r="A5129" s="227"/>
      <c r="B5129" s="224"/>
      <c r="C5129" s="36" t="s">
        <v>994</v>
      </c>
      <c r="D5129" s="47" t="s">
        <v>744</v>
      </c>
      <c r="E5129" s="37">
        <v>8.1799999999999998E-2</v>
      </c>
      <c r="F5129" s="31">
        <v>15.4955</v>
      </c>
      <c r="G5129" s="54">
        <f t="shared" si="90"/>
        <v>1.2675319</v>
      </c>
      <c r="H5129" s="73"/>
      <c r="I5129" s="74"/>
      <c r="J5129" s="155">
        <v>0</v>
      </c>
    </row>
    <row r="5130" spans="1:10" ht="27" hidden="1" thickBot="1" x14ac:dyDescent="0.35">
      <c r="A5130" s="227"/>
      <c r="B5130" s="224"/>
      <c r="C5130" s="36" t="s">
        <v>995</v>
      </c>
      <c r="D5130" s="36" t="s">
        <v>744</v>
      </c>
      <c r="E5130" s="37">
        <v>0.27</v>
      </c>
      <c r="F5130" s="31">
        <v>19.898499999999999</v>
      </c>
      <c r="G5130" s="54">
        <f t="shared" si="90"/>
        <v>5.3725949999999996</v>
      </c>
      <c r="H5130" s="73"/>
      <c r="I5130" s="74"/>
      <c r="J5130" s="155">
        <v>0</v>
      </c>
    </row>
    <row r="5131" spans="1:10" ht="15" hidden="1" thickBot="1" x14ac:dyDescent="0.35">
      <c r="A5131" s="227"/>
      <c r="B5131" s="224"/>
      <c r="C5131" s="36"/>
      <c r="D5131" s="47"/>
      <c r="E5131" s="37"/>
      <c r="F5131" s="54" t="s">
        <v>560</v>
      </c>
      <c r="G5131" s="54" t="str">
        <f t="shared" si="90"/>
        <v/>
      </c>
      <c r="H5131" s="73"/>
      <c r="I5131" s="74"/>
      <c r="J5131" s="155">
        <v>0</v>
      </c>
    </row>
    <row r="5132" spans="1:10" ht="15" hidden="1" thickBot="1" x14ac:dyDescent="0.35">
      <c r="A5132" s="226" t="s">
        <v>2040</v>
      </c>
      <c r="B5132" s="223" t="e">
        <f>INDEX(#REF!,MATCH(Composições!A5132,#REF!,0),2)</f>
        <v>#REF!</v>
      </c>
      <c r="C5132" s="41"/>
      <c r="D5132" s="26" t="e">
        <f>TRIM(INDEX(#REF!,MATCH(Composições!A5132,#REF!,0),1))</f>
        <v>#REF!</v>
      </c>
      <c r="E5132" s="27"/>
      <c r="F5132" s="49" t="s">
        <v>560</v>
      </c>
      <c r="G5132" s="28" t="str">
        <f t="shared" si="90"/>
        <v/>
      </c>
      <c r="H5132" s="29"/>
      <c r="I5132" s="30"/>
      <c r="J5132" s="155">
        <v>0</v>
      </c>
    </row>
    <row r="5133" spans="1:10" ht="15" hidden="1" thickBot="1" x14ac:dyDescent="0.35">
      <c r="A5133" s="227"/>
      <c r="B5133" s="224"/>
      <c r="C5133" s="170"/>
      <c r="D5133" s="170"/>
      <c r="E5133" s="171"/>
      <c r="F5133" s="54" t="s">
        <v>560</v>
      </c>
      <c r="G5133" s="54" t="str">
        <f t="shared" si="90"/>
        <v/>
      </c>
      <c r="H5133" s="73"/>
      <c r="I5133" s="74"/>
      <c r="J5133" s="155">
        <v>0</v>
      </c>
    </row>
    <row r="5134" spans="1:10" ht="27" hidden="1" thickBot="1" x14ac:dyDescent="0.35">
      <c r="A5134" s="227"/>
      <c r="B5134" s="224"/>
      <c r="C5134" s="36" t="s">
        <v>1861</v>
      </c>
      <c r="D5134" s="163" t="s">
        <v>515</v>
      </c>
      <c r="E5134" s="164">
        <v>1.0216000000000001</v>
      </c>
      <c r="F5134" s="31">
        <v>23.46</v>
      </c>
      <c r="G5134" s="54">
        <f t="shared" si="90"/>
        <v>23.966736000000001</v>
      </c>
      <c r="H5134" s="39">
        <f>SUM(G5134:G5136)</f>
        <v>31.91096095</v>
      </c>
      <c r="I5134" s="40"/>
      <c r="J5134" s="155">
        <v>0</v>
      </c>
    </row>
    <row r="5135" spans="1:10" ht="27" hidden="1" thickBot="1" x14ac:dyDescent="0.35">
      <c r="A5135" s="227"/>
      <c r="B5135" s="224"/>
      <c r="C5135" s="163" t="s">
        <v>994</v>
      </c>
      <c r="D5135" s="165" t="s">
        <v>744</v>
      </c>
      <c r="E5135" s="164">
        <v>9.7900000000000001E-2</v>
      </c>
      <c r="F5135" s="31">
        <v>15.4955</v>
      </c>
      <c r="G5135" s="54">
        <f t="shared" si="90"/>
        <v>1.51700945</v>
      </c>
      <c r="H5135" s="73"/>
      <c r="I5135" s="74"/>
      <c r="J5135" s="155">
        <v>0</v>
      </c>
    </row>
    <row r="5136" spans="1:10" ht="27" hidden="1" thickBot="1" x14ac:dyDescent="0.35">
      <c r="A5136" s="227"/>
      <c r="B5136" s="224"/>
      <c r="C5136" s="163" t="s">
        <v>995</v>
      </c>
      <c r="D5136" s="163" t="s">
        <v>744</v>
      </c>
      <c r="E5136" s="164">
        <v>0.32300000000000001</v>
      </c>
      <c r="F5136" s="31">
        <v>19.898499999999999</v>
      </c>
      <c r="G5136" s="54">
        <f t="shared" si="90"/>
        <v>6.4272155</v>
      </c>
      <c r="H5136" s="73"/>
      <c r="I5136" s="74"/>
      <c r="J5136" s="155">
        <v>0</v>
      </c>
    </row>
    <row r="5137" spans="1:10" ht="15" hidden="1" thickBot="1" x14ac:dyDescent="0.35">
      <c r="A5137" s="228"/>
      <c r="B5137" s="225"/>
      <c r="C5137" s="55"/>
      <c r="D5137" s="166"/>
      <c r="E5137" s="66"/>
      <c r="F5137" s="76" t="s">
        <v>560</v>
      </c>
      <c r="G5137" s="76" t="str">
        <f t="shared" si="90"/>
        <v/>
      </c>
      <c r="H5137" s="77"/>
      <c r="I5137" s="74"/>
      <c r="J5137" s="155">
        <v>0</v>
      </c>
    </row>
    <row r="5138" spans="1:10" ht="15" thickBot="1" x14ac:dyDescent="0.35">
      <c r="A5138" s="226" t="s">
        <v>2071</v>
      </c>
      <c r="B5138" s="223" t="str">
        <f>INDEX(Orçamentária!A:B,MATCH(Composições!A5138,Orçamentária!A:A,0),2)</f>
        <v>Bloco autônomo de emergência 1000 lumens – fornecimento e instalação</v>
      </c>
      <c r="C5138" s="41"/>
      <c r="D5138" s="26" t="str">
        <f>TRIM(INDEX(Orçamentária!C:C,MATCH(Composições!A5138,Orçamentária!A:A,0),1))</f>
        <v>un</v>
      </c>
      <c r="E5138" s="27"/>
      <c r="F5138" s="49" t="s">
        <v>560</v>
      </c>
      <c r="G5138" s="28" t="str">
        <f t="shared" si="90"/>
        <v/>
      </c>
      <c r="H5138" s="29"/>
      <c r="I5138" s="30"/>
      <c r="J5138" s="155">
        <v>40</v>
      </c>
    </row>
    <row r="5139" spans="1:10" x14ac:dyDescent="0.3">
      <c r="A5139" s="227"/>
      <c r="B5139" s="224"/>
      <c r="C5139" s="170"/>
      <c r="D5139" s="170"/>
      <c r="E5139" s="171"/>
      <c r="F5139" s="54" t="s">
        <v>560</v>
      </c>
      <c r="G5139" s="54" t="str">
        <f t="shared" si="90"/>
        <v/>
      </c>
      <c r="H5139" s="73"/>
      <c r="I5139" s="74"/>
      <c r="J5139" s="155">
        <v>40</v>
      </c>
    </row>
    <row r="5140" spans="1:10" x14ac:dyDescent="0.3">
      <c r="A5140" s="227"/>
      <c r="B5140" s="224"/>
      <c r="C5140" s="36" t="s">
        <v>2390</v>
      </c>
      <c r="D5140" s="163" t="s">
        <v>292</v>
      </c>
      <c r="E5140" s="164">
        <v>1</v>
      </c>
      <c r="F5140" s="31">
        <v>443.1</v>
      </c>
      <c r="G5140" s="54">
        <f t="shared" si="90"/>
        <v>443.1</v>
      </c>
      <c r="H5140" s="39">
        <f>SUM(G5140:G5142)</f>
        <v>447.96854669999999</v>
      </c>
      <c r="I5140" s="40"/>
      <c r="J5140" s="155">
        <v>40</v>
      </c>
    </row>
    <row r="5141" spans="1:10" x14ac:dyDescent="0.3">
      <c r="A5141" s="227"/>
      <c r="B5141" s="224"/>
      <c r="C5141" s="163" t="s">
        <v>1214</v>
      </c>
      <c r="D5141" s="165" t="s">
        <v>744</v>
      </c>
      <c r="E5141" s="164">
        <v>7.4800000000000005E-2</v>
      </c>
      <c r="F5141" s="31">
        <v>15.928999999999998</v>
      </c>
      <c r="G5141" s="54">
        <f t="shared" si="90"/>
        <v>1.1914891999999999</v>
      </c>
      <c r="H5141" s="73"/>
      <c r="I5141" s="74"/>
      <c r="J5141" s="155">
        <v>40</v>
      </c>
    </row>
    <row r="5142" spans="1:10" x14ac:dyDescent="0.3">
      <c r="A5142" s="227"/>
      <c r="B5142" s="224"/>
      <c r="C5142" s="163" t="s">
        <v>1215</v>
      </c>
      <c r="D5142" s="163" t="s">
        <v>744</v>
      </c>
      <c r="E5142" s="164">
        <v>0.17949999999999999</v>
      </c>
      <c r="F5142" s="31">
        <v>20.484999999999999</v>
      </c>
      <c r="G5142" s="54">
        <f t="shared" si="90"/>
        <v>3.6770574999999996</v>
      </c>
      <c r="H5142" s="73"/>
      <c r="I5142" s="74"/>
      <c r="J5142" s="155">
        <v>40</v>
      </c>
    </row>
    <row r="5143" spans="1:10" ht="15" thickBot="1" x14ac:dyDescent="0.35">
      <c r="A5143" s="228"/>
      <c r="B5143" s="225"/>
      <c r="C5143" s="55"/>
      <c r="D5143" s="166"/>
      <c r="E5143" s="66"/>
      <c r="F5143" s="76" t="s">
        <v>560</v>
      </c>
      <c r="G5143" s="76" t="str">
        <f t="shared" si="90"/>
        <v/>
      </c>
      <c r="H5143" s="77"/>
      <c r="I5143" s="74"/>
      <c r="J5143" s="155">
        <v>40</v>
      </c>
    </row>
    <row r="5144" spans="1:10" ht="15" thickBot="1" x14ac:dyDescent="0.35">
      <c r="A5144" s="220" t="s">
        <v>2072</v>
      </c>
      <c r="B5144" s="223" t="str">
        <f>INDEX(Orçamentária!A:B,MATCH(Composições!A5144,Orçamentária!A:A,0),2)</f>
        <v>Cabo Ethernet blindado</v>
      </c>
      <c r="C5144" s="41"/>
      <c r="D5144" s="26" t="str">
        <f>TRIM(INDEX(Orçamentária!C:C,MATCH(Composições!A5144,Orçamentária!A:A,0),1))</f>
        <v>m</v>
      </c>
      <c r="E5144" s="27"/>
      <c r="F5144" s="49" t="s">
        <v>560</v>
      </c>
      <c r="G5144" s="28" t="str">
        <f t="shared" si="90"/>
        <v/>
      </c>
      <c r="H5144" s="29"/>
      <c r="I5144" s="30"/>
      <c r="J5144" s="155">
        <v>220</v>
      </c>
    </row>
    <row r="5145" spans="1:10" x14ac:dyDescent="0.3">
      <c r="A5145" s="221"/>
      <c r="B5145" s="224"/>
      <c r="C5145" s="32"/>
      <c r="D5145" s="32"/>
      <c r="E5145" s="33"/>
      <c r="F5145" s="54" t="s">
        <v>560</v>
      </c>
      <c r="G5145" s="54" t="str">
        <f t="shared" si="90"/>
        <v/>
      </c>
      <c r="H5145" s="73"/>
      <c r="I5145" s="74"/>
      <c r="J5145" s="155">
        <v>220</v>
      </c>
    </row>
    <row r="5146" spans="1:10" x14ac:dyDescent="0.3">
      <c r="A5146" s="221"/>
      <c r="B5146" s="224"/>
      <c r="C5146" s="36" t="s">
        <v>2391</v>
      </c>
      <c r="D5146" s="36" t="s">
        <v>93</v>
      </c>
      <c r="E5146" s="37">
        <v>1.05</v>
      </c>
      <c r="F5146" s="31">
        <v>16.47</v>
      </c>
      <c r="G5146" s="54">
        <f t="shared" si="90"/>
        <v>17.293499999999998</v>
      </c>
      <c r="H5146" s="39">
        <f>SUM(G5146:G5148)</f>
        <v>17.395459199999998</v>
      </c>
      <c r="I5146" s="40"/>
      <c r="J5146" s="155">
        <v>220</v>
      </c>
    </row>
    <row r="5147" spans="1:10" x14ac:dyDescent="0.3">
      <c r="A5147" s="221"/>
      <c r="B5147" s="224"/>
      <c r="C5147" s="36" t="s">
        <v>1214</v>
      </c>
      <c r="D5147" s="47" t="s">
        <v>744</v>
      </c>
      <c r="E5147" s="37">
        <v>2.8E-3</v>
      </c>
      <c r="F5147" s="31">
        <v>15.928999999999998</v>
      </c>
      <c r="G5147" s="54">
        <f t="shared" si="90"/>
        <v>4.4601199999999994E-2</v>
      </c>
      <c r="H5147" s="73"/>
      <c r="I5147" s="74"/>
      <c r="J5147" s="155">
        <v>220</v>
      </c>
    </row>
    <row r="5148" spans="1:10" x14ac:dyDescent="0.3">
      <c r="A5148" s="221"/>
      <c r="B5148" s="224"/>
      <c r="C5148" s="36" t="s">
        <v>1215</v>
      </c>
      <c r="D5148" s="36" t="s">
        <v>744</v>
      </c>
      <c r="E5148" s="37">
        <v>2.8E-3</v>
      </c>
      <c r="F5148" s="31">
        <v>20.484999999999999</v>
      </c>
      <c r="G5148" s="54">
        <f t="shared" si="90"/>
        <v>5.7357999999999999E-2</v>
      </c>
      <c r="H5148" s="73"/>
      <c r="I5148" s="74"/>
      <c r="J5148" s="155">
        <v>220</v>
      </c>
    </row>
    <row r="5149" spans="1:10" ht="15" thickBot="1" x14ac:dyDescent="0.35">
      <c r="A5149" s="221"/>
      <c r="B5149" s="224"/>
      <c r="C5149" s="36"/>
      <c r="D5149" s="47"/>
      <c r="E5149" s="37"/>
      <c r="F5149" s="54" t="s">
        <v>560</v>
      </c>
      <c r="G5149" s="54" t="str">
        <f t="shared" ref="G5149:G5212" si="91">IF(ISNUMBER(F5149),E5149*F5149,"")</f>
        <v/>
      </c>
      <c r="H5149" s="73"/>
      <c r="I5149" s="74"/>
      <c r="J5149" s="155">
        <v>220</v>
      </c>
    </row>
    <row r="5150" spans="1:10" ht="15" thickBot="1" x14ac:dyDescent="0.35">
      <c r="A5150" s="220" t="s">
        <v>2073</v>
      </c>
      <c r="B5150" s="223" t="str">
        <f>INDEX(Orçamentária!A:B,MATCH(Composições!A5150,Orçamentária!A:A,0),2)</f>
        <v>Cabo de fibra óptica multimodo 12 fibras</v>
      </c>
      <c r="C5150" s="41"/>
      <c r="D5150" s="26" t="str">
        <f>TRIM(INDEX(Orçamentária!C:C,MATCH(Composições!A5150,Orçamentária!A:A,0),1))</f>
        <v>m</v>
      </c>
      <c r="E5150" s="27"/>
      <c r="F5150" s="49" t="s">
        <v>560</v>
      </c>
      <c r="G5150" s="28" t="str">
        <f t="shared" si="91"/>
        <v/>
      </c>
      <c r="H5150" s="29"/>
      <c r="I5150" s="30"/>
      <c r="J5150" s="155">
        <v>2650</v>
      </c>
    </row>
    <row r="5151" spans="1:10" x14ac:dyDescent="0.3">
      <c r="A5151" s="221"/>
      <c r="B5151" s="224"/>
      <c r="C5151" s="32"/>
      <c r="D5151" s="32"/>
      <c r="E5151" s="33"/>
      <c r="F5151" s="54" t="s">
        <v>560</v>
      </c>
      <c r="G5151" s="54" t="str">
        <f t="shared" si="91"/>
        <v/>
      </c>
      <c r="H5151" s="73"/>
      <c r="I5151" s="74"/>
      <c r="J5151" s="155">
        <v>2650</v>
      </c>
    </row>
    <row r="5152" spans="1:10" x14ac:dyDescent="0.3">
      <c r="A5152" s="221"/>
      <c r="B5152" s="224"/>
      <c r="C5152" s="36" t="s">
        <v>2392</v>
      </c>
      <c r="D5152" s="36" t="s">
        <v>93</v>
      </c>
      <c r="E5152" s="37">
        <v>1.05</v>
      </c>
      <c r="F5152" s="31">
        <v>14.91</v>
      </c>
      <c r="G5152" s="54">
        <f t="shared" si="91"/>
        <v>15.6555</v>
      </c>
      <c r="H5152" s="39">
        <f>SUM(G5152:G5154)</f>
        <v>18.2445354</v>
      </c>
      <c r="I5152" s="40"/>
      <c r="J5152" s="155">
        <v>2650</v>
      </c>
    </row>
    <row r="5153" spans="1:10" x14ac:dyDescent="0.3">
      <c r="A5153" s="221"/>
      <c r="B5153" s="224"/>
      <c r="C5153" s="36" t="s">
        <v>1214</v>
      </c>
      <c r="D5153" s="47" t="s">
        <v>744</v>
      </c>
      <c r="E5153" s="37">
        <v>7.1099999999999997E-2</v>
      </c>
      <c r="F5153" s="31">
        <v>15.928999999999998</v>
      </c>
      <c r="G5153" s="54">
        <f t="shared" si="91"/>
        <v>1.1325518999999999</v>
      </c>
      <c r="H5153" s="73"/>
      <c r="I5153" s="74"/>
      <c r="J5153" s="155">
        <v>2650</v>
      </c>
    </row>
    <row r="5154" spans="1:10" x14ac:dyDescent="0.3">
      <c r="A5154" s="221"/>
      <c r="B5154" s="224"/>
      <c r="C5154" s="36" t="s">
        <v>1215</v>
      </c>
      <c r="D5154" s="36" t="s">
        <v>744</v>
      </c>
      <c r="E5154" s="37">
        <v>7.1099999999999997E-2</v>
      </c>
      <c r="F5154" s="31">
        <v>20.484999999999999</v>
      </c>
      <c r="G5154" s="54">
        <f t="shared" si="91"/>
        <v>1.4564834999999998</v>
      </c>
      <c r="H5154" s="73"/>
      <c r="I5154" s="74"/>
      <c r="J5154" s="155">
        <v>2650</v>
      </c>
    </row>
    <row r="5155" spans="1:10" ht="15" thickBot="1" x14ac:dyDescent="0.35">
      <c r="A5155" s="221"/>
      <c r="B5155" s="224"/>
      <c r="C5155" s="36"/>
      <c r="D5155" s="47"/>
      <c r="E5155" s="37"/>
      <c r="F5155" s="54" t="s">
        <v>560</v>
      </c>
      <c r="G5155" s="54" t="str">
        <f t="shared" si="91"/>
        <v/>
      </c>
      <c r="H5155" s="73"/>
      <c r="I5155" s="74"/>
      <c r="J5155" s="155">
        <v>2650</v>
      </c>
    </row>
    <row r="5156" spans="1:10" ht="15" thickBot="1" x14ac:dyDescent="0.35">
      <c r="A5156" s="220" t="s">
        <v>2074</v>
      </c>
      <c r="B5156" s="223" t="str">
        <f>INDEX(Orçamentária!A:B,MATCH(Composições!A5156,Orçamentária!A:A,0),2)</f>
        <v>Cabos de cobre para comunicação CANbus</v>
      </c>
      <c r="C5156" s="41"/>
      <c r="D5156" s="26" t="str">
        <f>TRIM(INDEX(Orçamentária!C:C,MATCH(Composições!A5156,Orçamentária!A:A,0),1))</f>
        <v>m</v>
      </c>
      <c r="E5156" s="27"/>
      <c r="F5156" s="49" t="s">
        <v>560</v>
      </c>
      <c r="G5156" s="28" t="str">
        <f t="shared" si="91"/>
        <v/>
      </c>
      <c r="H5156" s="29"/>
      <c r="I5156" s="30"/>
      <c r="J5156" s="155">
        <v>75</v>
      </c>
    </row>
    <row r="5157" spans="1:10" x14ac:dyDescent="0.3">
      <c r="A5157" s="221"/>
      <c r="B5157" s="224"/>
      <c r="C5157" s="32"/>
      <c r="D5157" s="32"/>
      <c r="E5157" s="33"/>
      <c r="F5157" s="54" t="s">
        <v>560</v>
      </c>
      <c r="G5157" s="54" t="str">
        <f t="shared" si="91"/>
        <v/>
      </c>
      <c r="H5157" s="73"/>
      <c r="I5157" s="74"/>
      <c r="J5157" s="155">
        <v>75</v>
      </c>
    </row>
    <row r="5158" spans="1:10" x14ac:dyDescent="0.3">
      <c r="A5158" s="221"/>
      <c r="B5158" s="224"/>
      <c r="C5158" s="174" t="s">
        <v>2393</v>
      </c>
      <c r="D5158" s="36" t="s">
        <v>93</v>
      </c>
      <c r="E5158" s="37">
        <v>1.05</v>
      </c>
      <c r="F5158" s="31">
        <v>17.79</v>
      </c>
      <c r="G5158" s="54">
        <f t="shared" si="91"/>
        <v>18.679500000000001</v>
      </c>
      <c r="H5158" s="39">
        <f>SUM(G5158:G5160)</f>
        <v>18.7814592</v>
      </c>
      <c r="I5158" s="40"/>
      <c r="J5158" s="155">
        <v>75</v>
      </c>
    </row>
    <row r="5159" spans="1:10" x14ac:dyDescent="0.3">
      <c r="A5159" s="221"/>
      <c r="B5159" s="224"/>
      <c r="C5159" s="36" t="s">
        <v>1214</v>
      </c>
      <c r="D5159" s="47" t="s">
        <v>744</v>
      </c>
      <c r="E5159" s="37">
        <v>2.8E-3</v>
      </c>
      <c r="F5159" s="31">
        <v>15.928999999999998</v>
      </c>
      <c r="G5159" s="54">
        <f t="shared" si="91"/>
        <v>4.4601199999999994E-2</v>
      </c>
      <c r="H5159" s="73"/>
      <c r="I5159" s="74"/>
      <c r="J5159" s="155">
        <v>75</v>
      </c>
    </row>
    <row r="5160" spans="1:10" x14ac:dyDescent="0.3">
      <c r="A5160" s="221"/>
      <c r="B5160" s="224"/>
      <c r="C5160" s="36" t="s">
        <v>1215</v>
      </c>
      <c r="D5160" s="36" t="s">
        <v>744</v>
      </c>
      <c r="E5160" s="37">
        <v>2.8E-3</v>
      </c>
      <c r="F5160" s="31">
        <v>20.484999999999999</v>
      </c>
      <c r="G5160" s="54">
        <f t="shared" si="91"/>
        <v>5.7357999999999999E-2</v>
      </c>
      <c r="H5160" s="73"/>
      <c r="I5160" s="74"/>
      <c r="J5160" s="155">
        <v>75</v>
      </c>
    </row>
    <row r="5161" spans="1:10" ht="15" thickBot="1" x14ac:dyDescent="0.35">
      <c r="A5161" s="221"/>
      <c r="B5161" s="224"/>
      <c r="C5161" s="36"/>
      <c r="D5161" s="47"/>
      <c r="E5161" s="37"/>
      <c r="F5161" s="54" t="s">
        <v>560</v>
      </c>
      <c r="G5161" s="54" t="str">
        <f t="shared" si="91"/>
        <v/>
      </c>
      <c r="H5161" s="73"/>
      <c r="I5161" s="74"/>
      <c r="J5161" s="155">
        <v>75</v>
      </c>
    </row>
    <row r="5162" spans="1:10" ht="15" thickBot="1" x14ac:dyDescent="0.35">
      <c r="A5162" s="220" t="s">
        <v>2075</v>
      </c>
      <c r="B5162" s="223" t="str">
        <f>INDEX(Orçamentária!A:B,MATCH(Composições!A5162,Orçamentária!A:A,0),2)</f>
        <v>Cabos de cobre para comunicação padrão RS-485</v>
      </c>
      <c r="C5162" s="41"/>
      <c r="D5162" s="26" t="str">
        <f>TRIM(INDEX(Orçamentária!C:C,MATCH(Composições!A5162,Orçamentária!A:A,0),1))</f>
        <v>m</v>
      </c>
      <c r="E5162" s="27"/>
      <c r="F5162" s="49" t="s">
        <v>560</v>
      </c>
      <c r="G5162" s="28" t="str">
        <f t="shared" si="91"/>
        <v/>
      </c>
      <c r="H5162" s="29"/>
      <c r="I5162" s="30"/>
      <c r="J5162" s="155">
        <v>110</v>
      </c>
    </row>
    <row r="5163" spans="1:10" x14ac:dyDescent="0.3">
      <c r="A5163" s="221"/>
      <c r="B5163" s="224"/>
      <c r="C5163" s="32"/>
      <c r="D5163" s="32"/>
      <c r="E5163" s="33"/>
      <c r="F5163" s="54" t="s">
        <v>560</v>
      </c>
      <c r="G5163" s="54" t="str">
        <f t="shared" si="91"/>
        <v/>
      </c>
      <c r="H5163" s="73"/>
      <c r="I5163" s="74"/>
      <c r="J5163" s="155">
        <v>110</v>
      </c>
    </row>
    <row r="5164" spans="1:10" x14ac:dyDescent="0.3">
      <c r="A5164" s="221"/>
      <c r="B5164" s="224"/>
      <c r="C5164" s="174" t="s">
        <v>2394</v>
      </c>
      <c r="D5164" s="36" t="s">
        <v>93</v>
      </c>
      <c r="E5164" s="37">
        <v>1.05</v>
      </c>
      <c r="F5164" s="31">
        <v>42.95</v>
      </c>
      <c r="G5164" s="54">
        <f t="shared" si="91"/>
        <v>45.097500000000004</v>
      </c>
      <c r="H5164" s="39">
        <f>SUM(G5164:G5166)</f>
        <v>45.199459200000007</v>
      </c>
      <c r="I5164" s="40"/>
      <c r="J5164" s="155">
        <v>110</v>
      </c>
    </row>
    <row r="5165" spans="1:10" x14ac:dyDescent="0.3">
      <c r="A5165" s="221"/>
      <c r="B5165" s="224"/>
      <c r="C5165" s="36" t="s">
        <v>1214</v>
      </c>
      <c r="D5165" s="47" t="s">
        <v>744</v>
      </c>
      <c r="E5165" s="37">
        <v>2.8E-3</v>
      </c>
      <c r="F5165" s="31">
        <v>15.928999999999998</v>
      </c>
      <c r="G5165" s="54">
        <f t="shared" si="91"/>
        <v>4.4601199999999994E-2</v>
      </c>
      <c r="H5165" s="73"/>
      <c r="I5165" s="74"/>
      <c r="J5165" s="155">
        <v>110</v>
      </c>
    </row>
    <row r="5166" spans="1:10" x14ac:dyDescent="0.3">
      <c r="A5166" s="221"/>
      <c r="B5166" s="224"/>
      <c r="C5166" s="36" t="s">
        <v>1215</v>
      </c>
      <c r="D5166" s="36" t="s">
        <v>744</v>
      </c>
      <c r="E5166" s="37">
        <v>2.8E-3</v>
      </c>
      <c r="F5166" s="31">
        <v>20.484999999999999</v>
      </c>
      <c r="G5166" s="54">
        <f t="shared" si="91"/>
        <v>5.7357999999999999E-2</v>
      </c>
      <c r="H5166" s="73"/>
      <c r="I5166" s="74"/>
      <c r="J5166" s="155">
        <v>110</v>
      </c>
    </row>
    <row r="5167" spans="1:10" ht="15" thickBot="1" x14ac:dyDescent="0.35">
      <c r="A5167" s="221"/>
      <c r="B5167" s="224"/>
      <c r="C5167" s="36"/>
      <c r="D5167" s="47"/>
      <c r="E5167" s="37"/>
      <c r="F5167" s="54" t="s">
        <v>560</v>
      </c>
      <c r="G5167" s="54" t="str">
        <f t="shared" si="91"/>
        <v/>
      </c>
      <c r="H5167" s="73"/>
      <c r="I5167" s="74"/>
      <c r="J5167" s="155">
        <v>110</v>
      </c>
    </row>
    <row r="5168" spans="1:10" ht="15" thickBot="1" x14ac:dyDescent="0.35">
      <c r="A5168" s="220" t="s">
        <v>2076</v>
      </c>
      <c r="B5168" s="223" t="str">
        <f>INDEX(Orçamentária!A:B,MATCH(Composições!A5168,Orçamentária!A:A,0),2)</f>
        <v>Condulete de alumínio de 2”</v>
      </c>
      <c r="C5168" s="41"/>
      <c r="D5168" s="26" t="str">
        <f>TRIM(INDEX(Orçamentária!C:C,MATCH(Composições!A5168,Orçamentária!A:A,0),1))</f>
        <v>un</v>
      </c>
      <c r="E5168" s="27"/>
      <c r="F5168" s="42" t="s">
        <v>560</v>
      </c>
      <c r="G5168" s="28" t="str">
        <f t="shared" si="91"/>
        <v/>
      </c>
      <c r="H5168" s="29"/>
      <c r="I5168" s="30"/>
      <c r="J5168" s="155">
        <v>53</v>
      </c>
    </row>
    <row r="5169" spans="1:10" x14ac:dyDescent="0.3">
      <c r="A5169" s="231"/>
      <c r="B5169" s="224"/>
      <c r="C5169" s="32"/>
      <c r="D5169" s="32"/>
      <c r="E5169" s="33"/>
      <c r="F5169" s="43" t="s">
        <v>560</v>
      </c>
      <c r="G5169" s="31" t="str">
        <f t="shared" si="91"/>
        <v/>
      </c>
      <c r="H5169" s="35"/>
      <c r="I5169" s="31"/>
      <c r="J5169" s="155">
        <v>53</v>
      </c>
    </row>
    <row r="5170" spans="1:10" x14ac:dyDescent="0.3">
      <c r="A5170" s="231"/>
      <c r="B5170" s="224"/>
      <c r="C5170" s="36" t="s">
        <v>74</v>
      </c>
      <c r="D5170" s="36" t="s">
        <v>12</v>
      </c>
      <c r="E5170" s="37">
        <v>0.5121</v>
      </c>
      <c r="F5170" s="31">
        <v>15.928999999999998</v>
      </c>
      <c r="G5170" s="34">
        <f t="shared" si="91"/>
        <v>8.1572408999999997</v>
      </c>
      <c r="H5170" s="39">
        <f>SUM(G5170:G5173)</f>
        <v>47.156609400000001</v>
      </c>
      <c r="I5170" s="40"/>
      <c r="J5170" s="155">
        <v>53</v>
      </c>
    </row>
    <row r="5171" spans="1:10" x14ac:dyDescent="0.3">
      <c r="A5171" s="231"/>
      <c r="B5171" s="224"/>
      <c r="C5171" s="36" t="s">
        <v>30</v>
      </c>
      <c r="D5171" s="36" t="s">
        <v>12</v>
      </c>
      <c r="E5171" s="37">
        <v>0.5121</v>
      </c>
      <c r="F5171" s="31">
        <v>20.484999999999999</v>
      </c>
      <c r="G5171" s="34">
        <f t="shared" si="91"/>
        <v>10.490368499999999</v>
      </c>
      <c r="H5171" s="35"/>
      <c r="I5171" s="31"/>
      <c r="J5171" s="155">
        <v>53</v>
      </c>
    </row>
    <row r="5172" spans="1:10" ht="26.4" x14ac:dyDescent="0.3">
      <c r="A5172" s="231"/>
      <c r="B5172" s="224"/>
      <c r="C5172" s="36" t="s">
        <v>466</v>
      </c>
      <c r="D5172" s="36" t="s">
        <v>20</v>
      </c>
      <c r="E5172" s="37">
        <v>2</v>
      </c>
      <c r="F5172" s="34">
        <v>0.28050000000000003</v>
      </c>
      <c r="G5172" s="34">
        <f t="shared" si="91"/>
        <v>0.56100000000000005</v>
      </c>
      <c r="H5172" s="35"/>
      <c r="I5172" s="31"/>
      <c r="J5172" s="155">
        <v>53</v>
      </c>
    </row>
    <row r="5173" spans="1:10" ht="26.4" x14ac:dyDescent="0.3">
      <c r="A5173" s="231"/>
      <c r="B5173" s="224"/>
      <c r="C5173" s="36" t="s">
        <v>1738</v>
      </c>
      <c r="D5173" s="36" t="s">
        <v>20</v>
      </c>
      <c r="E5173" s="37">
        <v>1</v>
      </c>
      <c r="F5173" s="34">
        <v>27.948</v>
      </c>
      <c r="G5173" s="31">
        <f t="shared" si="91"/>
        <v>27.948</v>
      </c>
      <c r="H5173" s="35"/>
      <c r="I5173" s="31"/>
      <c r="J5173" s="155">
        <v>53</v>
      </c>
    </row>
    <row r="5174" spans="1:10" ht="15" thickBot="1" x14ac:dyDescent="0.35">
      <c r="A5174" s="232"/>
      <c r="B5174" s="225"/>
      <c r="C5174" s="36"/>
      <c r="D5174" s="36"/>
      <c r="E5174" s="37"/>
      <c r="F5174" s="31" t="s">
        <v>560</v>
      </c>
      <c r="G5174" s="31" t="str">
        <f t="shared" si="91"/>
        <v/>
      </c>
      <c r="H5174" s="35"/>
      <c r="I5174" s="31"/>
      <c r="J5174" s="155">
        <v>53</v>
      </c>
    </row>
    <row r="5175" spans="1:10" ht="15" thickBot="1" x14ac:dyDescent="0.35">
      <c r="A5175" s="220" t="s">
        <v>2077</v>
      </c>
      <c r="B5175" s="223" t="str">
        <f>INDEX(Orçamentária!A:B,MATCH(Composições!A5175,Orçamentária!A:A,0),2)</f>
        <v>Cabo de potência, 8,7 kV/15 kV, 95 mm²</v>
      </c>
      <c r="C5175" s="41"/>
      <c r="D5175" s="26" t="str">
        <f>TRIM(INDEX(Orçamentária!C:C,MATCH(Composições!A5175,Orçamentária!A:A,0),1))</f>
        <v>m</v>
      </c>
      <c r="E5175" s="27"/>
      <c r="F5175" s="42" t="s">
        <v>560</v>
      </c>
      <c r="G5175" s="28" t="str">
        <f t="shared" si="91"/>
        <v/>
      </c>
      <c r="H5175" s="29"/>
      <c r="I5175" s="30"/>
      <c r="J5175" s="155">
        <v>290</v>
      </c>
    </row>
    <row r="5176" spans="1:10" x14ac:dyDescent="0.3">
      <c r="A5176" s="231"/>
      <c r="B5176" s="224"/>
      <c r="C5176" s="32"/>
      <c r="D5176" s="32"/>
      <c r="E5176" s="33"/>
      <c r="F5176" s="43" t="s">
        <v>560</v>
      </c>
      <c r="G5176" s="31" t="str">
        <f t="shared" si="91"/>
        <v/>
      </c>
      <c r="H5176" s="35"/>
      <c r="I5176" s="31"/>
      <c r="J5176" s="155">
        <v>290</v>
      </c>
    </row>
    <row r="5177" spans="1:10" x14ac:dyDescent="0.3">
      <c r="A5177" s="231"/>
      <c r="B5177" s="224"/>
      <c r="C5177" s="36" t="s">
        <v>74</v>
      </c>
      <c r="D5177" s="36" t="s">
        <v>12</v>
      </c>
      <c r="E5177" s="37">
        <v>0.128</v>
      </c>
      <c r="F5177" s="31">
        <v>15.928999999999998</v>
      </c>
      <c r="G5177" s="34">
        <f t="shared" si="91"/>
        <v>2.0389119999999998</v>
      </c>
      <c r="H5177" s="39">
        <f>SUM(G5177:G5180)</f>
        <v>245.22445599999995</v>
      </c>
      <c r="I5177" s="40"/>
      <c r="J5177" s="155">
        <v>290</v>
      </c>
    </row>
    <row r="5178" spans="1:10" x14ac:dyDescent="0.3">
      <c r="A5178" s="231"/>
      <c r="B5178" s="224"/>
      <c r="C5178" s="36" t="s">
        <v>30</v>
      </c>
      <c r="D5178" s="36" t="s">
        <v>12</v>
      </c>
      <c r="E5178" s="37">
        <v>0.128</v>
      </c>
      <c r="F5178" s="31">
        <v>20.484999999999999</v>
      </c>
      <c r="G5178" s="34">
        <f t="shared" si="91"/>
        <v>2.62208</v>
      </c>
      <c r="H5178" s="35"/>
      <c r="I5178" s="31"/>
      <c r="J5178" s="155">
        <v>290</v>
      </c>
    </row>
    <row r="5179" spans="1:10" ht="26.4" x14ac:dyDescent="0.3">
      <c r="A5179" s="231"/>
      <c r="B5179" s="224"/>
      <c r="C5179" s="36" t="s">
        <v>1787</v>
      </c>
      <c r="D5179" s="36" t="s">
        <v>292</v>
      </c>
      <c r="E5179" s="37">
        <v>8.9999999999999993E-3</v>
      </c>
      <c r="F5179" s="34">
        <v>3.1959999999999997</v>
      </c>
      <c r="G5179" s="34">
        <f t="shared" si="91"/>
        <v>2.8763999999999994E-2</v>
      </c>
      <c r="H5179" s="35"/>
      <c r="I5179" s="31"/>
      <c r="J5179" s="155">
        <v>290</v>
      </c>
    </row>
    <row r="5180" spans="1:10" x14ac:dyDescent="0.3">
      <c r="A5180" s="231"/>
      <c r="B5180" s="224"/>
      <c r="C5180" s="36" t="s">
        <v>2395</v>
      </c>
      <c r="D5180" s="36" t="s">
        <v>93</v>
      </c>
      <c r="E5180" s="37">
        <v>1.0149999999999999</v>
      </c>
      <c r="F5180" s="34">
        <v>236.98</v>
      </c>
      <c r="G5180" s="31">
        <f t="shared" si="91"/>
        <v>240.53469999999996</v>
      </c>
      <c r="H5180" s="35"/>
      <c r="I5180" s="31"/>
      <c r="J5180" s="155">
        <v>290</v>
      </c>
    </row>
    <row r="5181" spans="1:10" ht="15" thickBot="1" x14ac:dyDescent="0.35">
      <c r="A5181" s="232"/>
      <c r="B5181" s="225"/>
      <c r="C5181" s="36"/>
      <c r="D5181" s="36"/>
      <c r="E5181" s="37"/>
      <c r="F5181" s="31" t="s">
        <v>560</v>
      </c>
      <c r="G5181" s="31" t="str">
        <f t="shared" si="91"/>
        <v/>
      </c>
      <c r="H5181" s="35"/>
      <c r="I5181" s="31"/>
      <c r="J5181" s="155">
        <v>290</v>
      </c>
    </row>
    <row r="5182" spans="1:10" ht="15" thickBot="1" x14ac:dyDescent="0.35">
      <c r="A5182" s="220" t="s">
        <v>2078</v>
      </c>
      <c r="B5182" s="223" t="str">
        <f>INDEX(Orçamentária!A:B,MATCH(Composições!A5182,Orçamentária!A:A,0),2)</f>
        <v>Cabo de potência, 8,7 kV/15 kV, 240 mm²</v>
      </c>
      <c r="C5182" s="41"/>
      <c r="D5182" s="26" t="str">
        <f>TRIM(INDEX(Orçamentária!C:C,MATCH(Composições!A5182,Orçamentária!A:A,0),1))</f>
        <v>m</v>
      </c>
      <c r="E5182" s="27"/>
      <c r="F5182" s="42" t="s">
        <v>560</v>
      </c>
      <c r="G5182" s="28" t="str">
        <f t="shared" si="91"/>
        <v/>
      </c>
      <c r="H5182" s="29"/>
      <c r="I5182" s="30"/>
      <c r="J5182" s="155">
        <v>2800</v>
      </c>
    </row>
    <row r="5183" spans="1:10" x14ac:dyDescent="0.3">
      <c r="A5183" s="231"/>
      <c r="B5183" s="224"/>
      <c r="C5183" s="32"/>
      <c r="D5183" s="32"/>
      <c r="E5183" s="33"/>
      <c r="F5183" s="43" t="s">
        <v>560</v>
      </c>
      <c r="G5183" s="31" t="str">
        <f t="shared" si="91"/>
        <v/>
      </c>
      <c r="H5183" s="35"/>
      <c r="I5183" s="31"/>
      <c r="J5183" s="155">
        <v>2800</v>
      </c>
    </row>
    <row r="5184" spans="1:10" x14ac:dyDescent="0.3">
      <c r="A5184" s="231"/>
      <c r="B5184" s="224"/>
      <c r="C5184" s="36" t="s">
        <v>74</v>
      </c>
      <c r="D5184" s="36" t="s">
        <v>12</v>
      </c>
      <c r="E5184" s="37">
        <v>0.26300000000000001</v>
      </c>
      <c r="F5184" s="31">
        <v>15.928999999999998</v>
      </c>
      <c r="G5184" s="34">
        <f t="shared" si="91"/>
        <v>4.1893269999999996</v>
      </c>
      <c r="H5184" s="39">
        <f>SUM(G5184:G5187)</f>
        <v>355.47704599999992</v>
      </c>
      <c r="I5184" s="40"/>
      <c r="J5184" s="155">
        <v>2800</v>
      </c>
    </row>
    <row r="5185" spans="1:10" x14ac:dyDescent="0.3">
      <c r="A5185" s="231"/>
      <c r="B5185" s="224"/>
      <c r="C5185" s="36" t="s">
        <v>30</v>
      </c>
      <c r="D5185" s="36" t="s">
        <v>12</v>
      </c>
      <c r="E5185" s="37">
        <v>0.26300000000000001</v>
      </c>
      <c r="F5185" s="31">
        <v>20.484999999999999</v>
      </c>
      <c r="G5185" s="34">
        <f t="shared" si="91"/>
        <v>5.3875549999999999</v>
      </c>
      <c r="H5185" s="35"/>
      <c r="I5185" s="31"/>
      <c r="J5185" s="155">
        <v>2800</v>
      </c>
    </row>
    <row r="5186" spans="1:10" ht="26.4" x14ac:dyDescent="0.3">
      <c r="A5186" s="231"/>
      <c r="B5186" s="224"/>
      <c r="C5186" s="36" t="s">
        <v>1787</v>
      </c>
      <c r="D5186" s="36" t="s">
        <v>292</v>
      </c>
      <c r="E5186" s="37">
        <v>8.9999999999999993E-3</v>
      </c>
      <c r="F5186" s="34">
        <v>3.1959999999999997</v>
      </c>
      <c r="G5186" s="34">
        <f t="shared" si="91"/>
        <v>2.8763999999999994E-2</v>
      </c>
      <c r="H5186" s="35"/>
      <c r="I5186" s="31"/>
      <c r="J5186" s="155">
        <v>2800</v>
      </c>
    </row>
    <row r="5187" spans="1:10" x14ac:dyDescent="0.3">
      <c r="A5187" s="231"/>
      <c r="B5187" s="224"/>
      <c r="C5187" s="36" t="s">
        <v>2396</v>
      </c>
      <c r="D5187" s="36" t="s">
        <v>93</v>
      </c>
      <c r="E5187" s="37">
        <v>1.0149999999999999</v>
      </c>
      <c r="F5187" s="34">
        <v>340.76</v>
      </c>
      <c r="G5187" s="31">
        <f t="shared" si="91"/>
        <v>345.87139999999994</v>
      </c>
      <c r="H5187" s="35"/>
      <c r="I5187" s="31"/>
      <c r="J5187" s="155">
        <v>2800</v>
      </c>
    </row>
    <row r="5188" spans="1:10" ht="15" thickBot="1" x14ac:dyDescent="0.35">
      <c r="A5188" s="232"/>
      <c r="B5188" s="225"/>
      <c r="C5188" s="36"/>
      <c r="D5188" s="36"/>
      <c r="E5188" s="37"/>
      <c r="F5188" s="31" t="s">
        <v>560</v>
      </c>
      <c r="G5188" s="31" t="str">
        <f t="shared" si="91"/>
        <v/>
      </c>
      <c r="H5188" s="35"/>
      <c r="I5188" s="31"/>
      <c r="J5188" s="155">
        <v>2800</v>
      </c>
    </row>
    <row r="5189" spans="1:10" ht="15" thickBot="1" x14ac:dyDescent="0.35">
      <c r="A5189" s="220" t="s">
        <v>2079</v>
      </c>
      <c r="B5189" s="223" t="str">
        <f>INDEX(Orçamentária!A:B,MATCH(Composições!A5189,Orçamentária!A:A,0),2)</f>
        <v>Distribuidor Interno Óptico Industrial – fornecimento e instalação</v>
      </c>
      <c r="C5189" s="41"/>
      <c r="D5189" s="26" t="str">
        <f>TRIM(INDEX(Orçamentária!C:C,MATCH(Composições!A5189,Orçamentária!A:A,0),1))</f>
        <v>un</v>
      </c>
      <c r="E5189" s="27"/>
      <c r="F5189" s="49" t="s">
        <v>560</v>
      </c>
      <c r="G5189" s="28" t="str">
        <f t="shared" si="91"/>
        <v/>
      </c>
      <c r="H5189" s="29"/>
      <c r="I5189" s="30"/>
      <c r="J5189" s="155">
        <v>12</v>
      </c>
    </row>
    <row r="5190" spans="1:10" x14ac:dyDescent="0.3">
      <c r="A5190" s="221"/>
      <c r="B5190" s="224"/>
      <c r="C5190" s="32"/>
      <c r="D5190" s="32"/>
      <c r="E5190" s="33"/>
      <c r="F5190" s="54" t="s">
        <v>560</v>
      </c>
      <c r="G5190" s="54" t="str">
        <f t="shared" si="91"/>
        <v/>
      </c>
      <c r="H5190" s="73"/>
      <c r="I5190" s="74"/>
      <c r="J5190" s="155">
        <v>12</v>
      </c>
    </row>
    <row r="5191" spans="1:10" x14ac:dyDescent="0.3">
      <c r="A5191" s="221"/>
      <c r="B5191" s="224"/>
      <c r="C5191" s="174" t="s">
        <v>2397</v>
      </c>
      <c r="D5191" s="36" t="s">
        <v>20</v>
      </c>
      <c r="E5191" s="37">
        <v>1</v>
      </c>
      <c r="F5191" s="31">
        <v>264.41000000000003</v>
      </c>
      <c r="G5191" s="54">
        <f t="shared" si="91"/>
        <v>264.41000000000003</v>
      </c>
      <c r="H5191" s="39">
        <f>SUM(G5191:G5193)</f>
        <v>355.44499999999999</v>
      </c>
      <c r="I5191" s="40"/>
      <c r="J5191" s="155">
        <v>12</v>
      </c>
    </row>
    <row r="5192" spans="1:10" x14ac:dyDescent="0.3">
      <c r="A5192" s="221"/>
      <c r="B5192" s="224"/>
      <c r="C5192" s="36" t="s">
        <v>1214</v>
      </c>
      <c r="D5192" s="47" t="s">
        <v>744</v>
      </c>
      <c r="E5192" s="37">
        <v>2.5</v>
      </c>
      <c r="F5192" s="31">
        <v>15.928999999999998</v>
      </c>
      <c r="G5192" s="54">
        <f t="shared" si="91"/>
        <v>39.822499999999998</v>
      </c>
      <c r="H5192" s="73"/>
      <c r="I5192" s="74"/>
      <c r="J5192" s="155">
        <v>12</v>
      </c>
    </row>
    <row r="5193" spans="1:10" x14ac:dyDescent="0.3">
      <c r="A5193" s="221"/>
      <c r="B5193" s="224"/>
      <c r="C5193" s="36" t="s">
        <v>1215</v>
      </c>
      <c r="D5193" s="36" t="s">
        <v>744</v>
      </c>
      <c r="E5193" s="37">
        <v>2.5</v>
      </c>
      <c r="F5193" s="31">
        <v>20.484999999999999</v>
      </c>
      <c r="G5193" s="54">
        <f t="shared" si="91"/>
        <v>51.212499999999999</v>
      </c>
      <c r="H5193" s="73"/>
      <c r="I5193" s="74"/>
      <c r="J5193" s="155">
        <v>12</v>
      </c>
    </row>
    <row r="5194" spans="1:10" ht="15" thickBot="1" x14ac:dyDescent="0.35">
      <c r="A5194" s="221"/>
      <c r="B5194" s="224"/>
      <c r="C5194" s="36"/>
      <c r="D5194" s="47"/>
      <c r="E5194" s="37"/>
      <c r="F5194" s="54" t="s">
        <v>560</v>
      </c>
      <c r="G5194" s="54" t="str">
        <f t="shared" si="91"/>
        <v/>
      </c>
      <c r="H5194" s="73"/>
      <c r="I5194" s="74"/>
      <c r="J5194" s="155">
        <v>12</v>
      </c>
    </row>
    <row r="5195" spans="1:10" ht="15" thickBot="1" x14ac:dyDescent="0.35">
      <c r="A5195" s="226" t="s">
        <v>2080</v>
      </c>
      <c r="B5195" s="223" t="str">
        <f>INDEX(Orçamentária!A:B,MATCH(Composições!A5195,Orçamentária!A:A,0),2)</f>
        <v>Eletroduto PEAD 5”</v>
      </c>
      <c r="C5195" s="41"/>
      <c r="D5195" s="26" t="str">
        <f>TRIM(INDEX(Orçamentária!C:C,MATCH(Composições!A5195,Orçamentária!A:A,0),1))</f>
        <v>m</v>
      </c>
      <c r="E5195" s="27"/>
      <c r="F5195" s="42" t="s">
        <v>560</v>
      </c>
      <c r="G5195" s="28" t="str">
        <f t="shared" si="91"/>
        <v/>
      </c>
      <c r="H5195" s="29"/>
      <c r="I5195" s="30"/>
      <c r="J5195" s="155">
        <v>210</v>
      </c>
    </row>
    <row r="5196" spans="1:10" x14ac:dyDescent="0.3">
      <c r="A5196" s="229"/>
      <c r="B5196" s="224"/>
      <c r="C5196" s="32"/>
      <c r="D5196" s="32"/>
      <c r="E5196" s="33"/>
      <c r="F5196" s="43" t="s">
        <v>560</v>
      </c>
      <c r="G5196" s="31" t="str">
        <f t="shared" si="91"/>
        <v/>
      </c>
      <c r="H5196" s="35"/>
      <c r="I5196" s="31"/>
      <c r="J5196" s="155">
        <v>210</v>
      </c>
    </row>
    <row r="5197" spans="1:10" ht="39.6" x14ac:dyDescent="0.3">
      <c r="A5197" s="229"/>
      <c r="B5197" s="224"/>
      <c r="C5197" s="36" t="s">
        <v>2398</v>
      </c>
      <c r="D5197" s="36" t="s">
        <v>515</v>
      </c>
      <c r="E5197" s="37">
        <v>1.1000000000000001</v>
      </c>
      <c r="F5197" s="31">
        <v>35.819000000000003</v>
      </c>
      <c r="G5197" s="34">
        <f t="shared" si="91"/>
        <v>39.400900000000007</v>
      </c>
      <c r="H5197" s="39">
        <f>SUM(G5197:G5199)</f>
        <v>43.224370000000008</v>
      </c>
      <c r="I5197" s="40"/>
      <c r="J5197" s="155">
        <v>210</v>
      </c>
    </row>
    <row r="5198" spans="1:10" x14ac:dyDescent="0.3">
      <c r="A5198" s="229"/>
      <c r="B5198" s="224"/>
      <c r="C5198" s="36" t="s">
        <v>1214</v>
      </c>
      <c r="D5198" s="36" t="s">
        <v>744</v>
      </c>
      <c r="E5198" s="37">
        <v>0.105</v>
      </c>
      <c r="F5198" s="31">
        <v>15.928999999999998</v>
      </c>
      <c r="G5198" s="34">
        <f t="shared" si="91"/>
        <v>1.6725449999999997</v>
      </c>
      <c r="H5198" s="35"/>
      <c r="I5198" s="31"/>
      <c r="J5198" s="155">
        <v>210</v>
      </c>
    </row>
    <row r="5199" spans="1:10" x14ac:dyDescent="0.3">
      <c r="A5199" s="229"/>
      <c r="B5199" s="224"/>
      <c r="C5199" s="36" t="s">
        <v>1215</v>
      </c>
      <c r="D5199" s="36" t="s">
        <v>744</v>
      </c>
      <c r="E5199" s="37">
        <v>0.105</v>
      </c>
      <c r="F5199" s="34">
        <v>20.484999999999999</v>
      </c>
      <c r="G5199" s="31">
        <f t="shared" si="91"/>
        <v>2.150925</v>
      </c>
      <c r="H5199" s="35"/>
      <c r="I5199" s="31"/>
      <c r="J5199" s="155">
        <v>210</v>
      </c>
    </row>
    <row r="5200" spans="1:10" ht="15" thickBot="1" x14ac:dyDescent="0.35">
      <c r="A5200" s="230"/>
      <c r="B5200" s="225"/>
      <c r="C5200" s="36"/>
      <c r="D5200" s="36"/>
      <c r="E5200" s="37"/>
      <c r="F5200" s="31" t="s">
        <v>560</v>
      </c>
      <c r="G5200" s="31" t="str">
        <f t="shared" si="91"/>
        <v/>
      </c>
      <c r="H5200" s="35"/>
      <c r="I5200" s="31"/>
      <c r="J5200" s="155">
        <v>210</v>
      </c>
    </row>
    <row r="5201" spans="1:10" ht="15" thickBot="1" x14ac:dyDescent="0.35">
      <c r="A5201" s="226" t="s">
        <v>2082</v>
      </c>
      <c r="B5201" s="223" t="str">
        <f>INDEX(Orçamentária!A:B,MATCH(Composições!A5201,Orçamentária!A:A,0),2)</f>
        <v>Interruptor duplo para condulete</v>
      </c>
      <c r="C5201" s="41"/>
      <c r="D5201" s="26" t="str">
        <f>TRIM(INDEX(Orçamentária!C:C,MATCH(Composições!A5201,Orçamentária!A:A,0),1))</f>
        <v>un</v>
      </c>
      <c r="E5201" s="27"/>
      <c r="F5201" s="42" t="s">
        <v>560</v>
      </c>
      <c r="G5201" s="28" t="str">
        <f t="shared" si="91"/>
        <v/>
      </c>
      <c r="H5201" s="29"/>
      <c r="I5201" s="30"/>
      <c r="J5201" s="155">
        <v>4</v>
      </c>
    </row>
    <row r="5202" spans="1:10" x14ac:dyDescent="0.3">
      <c r="A5202" s="229"/>
      <c r="B5202" s="224"/>
      <c r="C5202" s="32"/>
      <c r="D5202" s="32"/>
      <c r="E5202" s="33"/>
      <c r="F5202" s="43" t="s">
        <v>560</v>
      </c>
      <c r="G5202" s="31" t="str">
        <f t="shared" si="91"/>
        <v/>
      </c>
      <c r="H5202" s="35"/>
      <c r="I5202" s="31"/>
      <c r="J5202" s="155">
        <v>4</v>
      </c>
    </row>
    <row r="5203" spans="1:10" x14ac:dyDescent="0.3">
      <c r="A5203" s="229"/>
      <c r="B5203" s="224"/>
      <c r="C5203" s="36" t="s">
        <v>30</v>
      </c>
      <c r="D5203" s="36" t="s">
        <v>12</v>
      </c>
      <c r="E5203" s="37">
        <f>0.3/2</f>
        <v>0.15</v>
      </c>
      <c r="F5203" s="31">
        <v>20.484999999999999</v>
      </c>
      <c r="G5203" s="34">
        <f t="shared" si="91"/>
        <v>3.0727499999999996</v>
      </c>
      <c r="H5203" s="39">
        <f>SUM(G5203:G5206)</f>
        <v>26.762099999999997</v>
      </c>
      <c r="I5203" s="40"/>
      <c r="J5203" s="155">
        <v>4</v>
      </c>
    </row>
    <row r="5204" spans="1:10" x14ac:dyDescent="0.3">
      <c r="A5204" s="229"/>
      <c r="B5204" s="224"/>
      <c r="C5204" s="36" t="s">
        <v>74</v>
      </c>
      <c r="D5204" s="36" t="s">
        <v>12</v>
      </c>
      <c r="E5204" s="37">
        <f>0.3/2</f>
        <v>0.15</v>
      </c>
      <c r="F5204" s="31">
        <v>15.928999999999998</v>
      </c>
      <c r="G5204" s="34">
        <f t="shared" si="91"/>
        <v>2.3893499999999999</v>
      </c>
      <c r="H5204" s="35"/>
      <c r="I5204" s="31"/>
      <c r="J5204" s="155">
        <v>4</v>
      </c>
    </row>
    <row r="5205" spans="1:10" ht="26.4" x14ac:dyDescent="0.3">
      <c r="A5205" s="229"/>
      <c r="B5205" s="224"/>
      <c r="C5205" s="36" t="s">
        <v>543</v>
      </c>
      <c r="D5205" s="36" t="s">
        <v>20</v>
      </c>
      <c r="E5205" s="37">
        <v>1</v>
      </c>
      <c r="F5205" s="34">
        <v>4.97</v>
      </c>
      <c r="G5205" s="34">
        <f t="shared" si="91"/>
        <v>4.97</v>
      </c>
      <c r="H5205" s="35"/>
      <c r="I5205" s="31"/>
      <c r="J5205" s="155">
        <v>4</v>
      </c>
    </row>
    <row r="5206" spans="1:10" ht="26.4" x14ac:dyDescent="0.3">
      <c r="A5206" s="229"/>
      <c r="B5206" s="224"/>
      <c r="C5206" s="36" t="s">
        <v>2399</v>
      </c>
      <c r="D5206" s="36" t="s">
        <v>20</v>
      </c>
      <c r="E5206" s="37">
        <v>1</v>
      </c>
      <c r="F5206" s="34">
        <v>16.329999999999998</v>
      </c>
      <c r="G5206" s="31">
        <f t="shared" si="91"/>
        <v>16.329999999999998</v>
      </c>
      <c r="H5206" s="35"/>
      <c r="I5206" s="31"/>
      <c r="J5206" s="155">
        <v>4</v>
      </c>
    </row>
    <row r="5207" spans="1:10" ht="15" thickBot="1" x14ac:dyDescent="0.35">
      <c r="A5207" s="230"/>
      <c r="B5207" s="225"/>
      <c r="C5207" s="36"/>
      <c r="D5207" s="36"/>
      <c r="E5207" s="37"/>
      <c r="F5207" s="31" t="s">
        <v>560</v>
      </c>
      <c r="G5207" s="31" t="str">
        <f t="shared" si="91"/>
        <v/>
      </c>
      <c r="H5207" s="35"/>
      <c r="I5207" s="31"/>
      <c r="J5207" s="155">
        <v>4</v>
      </c>
    </row>
    <row r="5208" spans="1:10" ht="15" thickBot="1" x14ac:dyDescent="0.35">
      <c r="A5208" s="226" t="s">
        <v>2083</v>
      </c>
      <c r="B5208" s="223" t="str">
        <f>INDEX(Orçamentária!A:B,MATCH(Composições!A5208,Orçamentária!A:A,0),2)</f>
        <v>Leito 400x100 mm</v>
      </c>
      <c r="C5208" s="41"/>
      <c r="D5208" s="26" t="str">
        <f>TRIM(INDEX(Orçamentária!C:C,MATCH(Composições!A5208,Orçamentária!A:A,0),1))</f>
        <v>m</v>
      </c>
      <c r="E5208" s="27"/>
      <c r="F5208" s="42" t="s">
        <v>560</v>
      </c>
      <c r="G5208" s="28" t="str">
        <f t="shared" si="91"/>
        <v/>
      </c>
      <c r="H5208" s="29"/>
      <c r="I5208" s="30"/>
      <c r="J5208" s="155">
        <v>550</v>
      </c>
    </row>
    <row r="5209" spans="1:10" x14ac:dyDescent="0.3">
      <c r="A5209" s="229"/>
      <c r="B5209" s="224"/>
      <c r="C5209" s="32"/>
      <c r="D5209" s="32"/>
      <c r="E5209" s="33"/>
      <c r="F5209" s="43" t="s">
        <v>560</v>
      </c>
      <c r="G5209" s="31" t="str">
        <f t="shared" si="91"/>
        <v/>
      </c>
      <c r="H5209" s="35"/>
      <c r="I5209" s="31"/>
      <c r="J5209" s="155">
        <v>550</v>
      </c>
    </row>
    <row r="5210" spans="1:10" x14ac:dyDescent="0.3">
      <c r="A5210" s="229"/>
      <c r="B5210" s="224"/>
      <c r="C5210" s="36" t="s">
        <v>30</v>
      </c>
      <c r="D5210" s="36" t="s">
        <v>12</v>
      </c>
      <c r="E5210" s="37">
        <v>0.6</v>
      </c>
      <c r="F5210" s="31">
        <v>20.484999999999999</v>
      </c>
      <c r="G5210" s="34">
        <f t="shared" si="91"/>
        <v>12.290999999999999</v>
      </c>
      <c r="H5210" s="39">
        <f>SUM(G5210:G5212)</f>
        <v>199.77089999999998</v>
      </c>
      <c r="I5210" s="40"/>
      <c r="J5210" s="155">
        <v>550</v>
      </c>
    </row>
    <row r="5211" spans="1:10" x14ac:dyDescent="0.3">
      <c r="A5211" s="229"/>
      <c r="B5211" s="224"/>
      <c r="C5211" s="36" t="s">
        <v>74</v>
      </c>
      <c r="D5211" s="36" t="s">
        <v>12</v>
      </c>
      <c r="E5211" s="37">
        <v>0.6</v>
      </c>
      <c r="F5211" s="31">
        <v>15.928999999999998</v>
      </c>
      <c r="G5211" s="34">
        <f t="shared" si="91"/>
        <v>9.5573999999999995</v>
      </c>
      <c r="H5211" s="35"/>
      <c r="I5211" s="31"/>
      <c r="J5211" s="155">
        <v>550</v>
      </c>
    </row>
    <row r="5212" spans="1:10" ht="26.4" x14ac:dyDescent="0.3">
      <c r="A5212" s="229"/>
      <c r="B5212" s="224"/>
      <c r="C5212" s="36" t="s">
        <v>2400</v>
      </c>
      <c r="D5212" s="36" t="s">
        <v>93</v>
      </c>
      <c r="E5212" s="37">
        <v>1.05</v>
      </c>
      <c r="F5212" s="31">
        <v>169.45</v>
      </c>
      <c r="G5212" s="34">
        <f t="shared" si="91"/>
        <v>177.92249999999999</v>
      </c>
      <c r="H5212" s="35"/>
      <c r="I5212" s="31"/>
      <c r="J5212" s="155">
        <v>550</v>
      </c>
    </row>
    <row r="5213" spans="1:10" ht="15" thickBot="1" x14ac:dyDescent="0.35">
      <c r="A5213" s="230"/>
      <c r="B5213" s="225"/>
      <c r="C5213" s="36"/>
      <c r="D5213" s="36"/>
      <c r="E5213" s="37"/>
      <c r="F5213" s="31" t="s">
        <v>560</v>
      </c>
      <c r="G5213" s="31" t="str">
        <f t="shared" ref="G5213:G5276" si="92">IF(ISNUMBER(F5213),E5213*F5213,"")</f>
        <v/>
      </c>
      <c r="H5213" s="35"/>
      <c r="I5213" s="31"/>
      <c r="J5213" s="155">
        <v>550</v>
      </c>
    </row>
    <row r="5214" spans="1:10" ht="15" thickBot="1" x14ac:dyDescent="0.35">
      <c r="A5214" s="226" t="s">
        <v>2084</v>
      </c>
      <c r="B5214" s="223" t="str">
        <f>INDEX(Orçamentária!A:B,MATCH(Composições!A5214,Orçamentária!A:A,0),2)</f>
        <v>Leito 600x100 mm</v>
      </c>
      <c r="C5214" s="41"/>
      <c r="D5214" s="26" t="str">
        <f>TRIM(INDEX(Orçamentária!C:C,MATCH(Composições!A5214,Orçamentária!A:A,0),1))</f>
        <v>m</v>
      </c>
      <c r="E5214" s="27"/>
      <c r="F5214" s="42" t="s">
        <v>560</v>
      </c>
      <c r="G5214" s="28" t="str">
        <f t="shared" si="92"/>
        <v/>
      </c>
      <c r="H5214" s="29"/>
      <c r="I5214" s="30"/>
      <c r="J5214" s="155">
        <v>160</v>
      </c>
    </row>
    <row r="5215" spans="1:10" x14ac:dyDescent="0.3">
      <c r="A5215" s="229"/>
      <c r="B5215" s="224"/>
      <c r="C5215" s="32"/>
      <c r="D5215" s="32"/>
      <c r="E5215" s="33"/>
      <c r="F5215" s="43" t="s">
        <v>560</v>
      </c>
      <c r="G5215" s="31" t="str">
        <f t="shared" si="92"/>
        <v/>
      </c>
      <c r="H5215" s="35"/>
      <c r="I5215" s="31"/>
      <c r="J5215" s="155">
        <v>160</v>
      </c>
    </row>
    <row r="5216" spans="1:10" x14ac:dyDescent="0.3">
      <c r="A5216" s="229"/>
      <c r="B5216" s="224"/>
      <c r="C5216" s="36" t="s">
        <v>30</v>
      </c>
      <c r="D5216" s="36" t="s">
        <v>12</v>
      </c>
      <c r="E5216" s="37">
        <v>0.7</v>
      </c>
      <c r="F5216" s="31">
        <v>20.484999999999999</v>
      </c>
      <c r="G5216" s="34">
        <f t="shared" si="92"/>
        <v>14.339499999999999</v>
      </c>
      <c r="H5216" s="39">
        <f>SUM(G5216:G5218)</f>
        <v>228.78030000000004</v>
      </c>
      <c r="I5216" s="40"/>
      <c r="J5216" s="155">
        <v>160</v>
      </c>
    </row>
    <row r="5217" spans="1:10" x14ac:dyDescent="0.3">
      <c r="A5217" s="229"/>
      <c r="B5217" s="224"/>
      <c r="C5217" s="36" t="s">
        <v>74</v>
      </c>
      <c r="D5217" s="36" t="s">
        <v>12</v>
      </c>
      <c r="E5217" s="37">
        <v>0.7</v>
      </c>
      <c r="F5217" s="31">
        <v>15.928999999999998</v>
      </c>
      <c r="G5217" s="34">
        <f t="shared" si="92"/>
        <v>11.150299999999998</v>
      </c>
      <c r="H5217" s="35"/>
      <c r="I5217" s="31"/>
      <c r="J5217" s="155">
        <v>160</v>
      </c>
    </row>
    <row r="5218" spans="1:10" ht="26.4" x14ac:dyDescent="0.3">
      <c r="A5218" s="229"/>
      <c r="B5218" s="224"/>
      <c r="C5218" s="36" t="s">
        <v>2401</v>
      </c>
      <c r="D5218" s="36" t="s">
        <v>93</v>
      </c>
      <c r="E5218" s="37">
        <v>1.05</v>
      </c>
      <c r="F5218" s="31">
        <v>193.61</v>
      </c>
      <c r="G5218" s="34">
        <f t="shared" si="92"/>
        <v>203.29050000000004</v>
      </c>
      <c r="H5218" s="35"/>
      <c r="I5218" s="31"/>
      <c r="J5218" s="155">
        <v>160</v>
      </c>
    </row>
    <row r="5219" spans="1:10" ht="15" thickBot="1" x14ac:dyDescent="0.35">
      <c r="A5219" s="230"/>
      <c r="B5219" s="225"/>
      <c r="C5219" s="36"/>
      <c r="D5219" s="36"/>
      <c r="E5219" s="37"/>
      <c r="F5219" s="31" t="s">
        <v>560</v>
      </c>
      <c r="G5219" s="31" t="str">
        <f t="shared" si="92"/>
        <v/>
      </c>
      <c r="H5219" s="35"/>
      <c r="I5219" s="31"/>
      <c r="J5219" s="155">
        <v>160</v>
      </c>
    </row>
    <row r="5220" spans="1:10" ht="15" thickBot="1" x14ac:dyDescent="0.35">
      <c r="A5220" s="226" t="s">
        <v>2085</v>
      </c>
      <c r="B5220" s="223" t="str">
        <f>INDEX(Orçamentária!A:B,MATCH(Composições!A5220,Orçamentária!A:A,0),2)</f>
        <v>Luminária 2x28 W hermética de sobrepor</v>
      </c>
      <c r="C5220" s="41"/>
      <c r="D5220" s="26" t="str">
        <f>TRIM(INDEX(Orçamentária!C:C,MATCH(Composições!A5220,Orçamentária!A:A,0),1))</f>
        <v>un</v>
      </c>
      <c r="E5220" s="27"/>
      <c r="F5220" s="42" t="s">
        <v>560</v>
      </c>
      <c r="G5220" s="28" t="str">
        <f t="shared" si="92"/>
        <v/>
      </c>
      <c r="H5220" s="29"/>
      <c r="I5220" s="30"/>
      <c r="J5220" s="155">
        <v>52</v>
      </c>
    </row>
    <row r="5221" spans="1:10" x14ac:dyDescent="0.3">
      <c r="A5221" s="229"/>
      <c r="B5221" s="224"/>
      <c r="C5221" s="32"/>
      <c r="D5221" s="32"/>
      <c r="E5221" s="33"/>
      <c r="F5221" s="43" t="s">
        <v>560</v>
      </c>
      <c r="G5221" s="31" t="str">
        <f t="shared" si="92"/>
        <v/>
      </c>
      <c r="H5221" s="35"/>
      <c r="I5221" s="31"/>
      <c r="J5221" s="155">
        <v>52</v>
      </c>
    </row>
    <row r="5222" spans="1:10" ht="52.8" x14ac:dyDescent="0.3">
      <c r="A5222" s="229"/>
      <c r="B5222" s="224"/>
      <c r="C5222" s="36" t="s">
        <v>2404</v>
      </c>
      <c r="D5222" s="36" t="s">
        <v>147</v>
      </c>
      <c r="E5222" s="37">
        <v>1</v>
      </c>
      <c r="F5222" s="34">
        <v>102.2</v>
      </c>
      <c r="G5222" s="31">
        <f t="shared" si="92"/>
        <v>102.2</v>
      </c>
      <c r="H5222" s="39">
        <f>SUM(G5222:G5226)</f>
        <v>219.85992229999999</v>
      </c>
      <c r="I5222" s="40"/>
      <c r="J5222" s="155">
        <v>52</v>
      </c>
    </row>
    <row r="5223" spans="1:10" ht="26.4" x14ac:dyDescent="0.3">
      <c r="A5223" s="229"/>
      <c r="B5223" s="224"/>
      <c r="C5223" s="36" t="s">
        <v>2403</v>
      </c>
      <c r="D5223" s="36" t="s">
        <v>147</v>
      </c>
      <c r="E5223" s="37">
        <v>1</v>
      </c>
      <c r="F5223" s="34">
        <v>84.76</v>
      </c>
      <c r="G5223" s="31">
        <f t="shared" si="92"/>
        <v>84.76</v>
      </c>
      <c r="H5223" s="45"/>
      <c r="I5223" s="46"/>
      <c r="J5223" s="155">
        <v>52</v>
      </c>
    </row>
    <row r="5224" spans="1:10" ht="26.4" x14ac:dyDescent="0.3">
      <c r="A5224" s="229"/>
      <c r="B5224" s="224"/>
      <c r="C5224" s="36" t="s">
        <v>587</v>
      </c>
      <c r="D5224" s="36" t="s">
        <v>147</v>
      </c>
      <c r="E5224" s="37">
        <v>2</v>
      </c>
      <c r="F5224" s="34">
        <v>10.83</v>
      </c>
      <c r="G5224" s="31">
        <f t="shared" si="92"/>
        <v>21.66</v>
      </c>
      <c r="H5224" s="45"/>
      <c r="I5224" s="46"/>
      <c r="J5224" s="155">
        <v>52</v>
      </c>
    </row>
    <row r="5225" spans="1:10" x14ac:dyDescent="0.3">
      <c r="A5225" s="229"/>
      <c r="B5225" s="224"/>
      <c r="C5225" s="36" t="s">
        <v>74</v>
      </c>
      <c r="D5225" s="36" t="s">
        <v>12</v>
      </c>
      <c r="E5225" s="37">
        <v>0.17269999999999999</v>
      </c>
      <c r="F5225" s="31">
        <v>15.928999999999998</v>
      </c>
      <c r="G5225" s="31">
        <f t="shared" si="92"/>
        <v>2.7509382999999996</v>
      </c>
      <c r="H5225" s="35"/>
      <c r="I5225" s="31"/>
      <c r="J5225" s="155">
        <v>52</v>
      </c>
    </row>
    <row r="5226" spans="1:10" x14ac:dyDescent="0.3">
      <c r="A5226" s="229"/>
      <c r="B5226" s="224"/>
      <c r="C5226" s="36" t="s">
        <v>30</v>
      </c>
      <c r="D5226" s="36" t="s">
        <v>12</v>
      </c>
      <c r="E5226" s="37">
        <v>0.41439999999999999</v>
      </c>
      <c r="F5226" s="31">
        <v>20.484999999999999</v>
      </c>
      <c r="G5226" s="31">
        <f t="shared" si="92"/>
        <v>8.4889840000000003</v>
      </c>
      <c r="H5226" s="35"/>
      <c r="I5226" s="31"/>
      <c r="J5226" s="155">
        <v>52</v>
      </c>
    </row>
    <row r="5227" spans="1:10" ht="15" thickBot="1" x14ac:dyDescent="0.35">
      <c r="A5227" s="230"/>
      <c r="B5227" s="225"/>
      <c r="C5227" s="36"/>
      <c r="D5227" s="36"/>
      <c r="E5227" s="37"/>
      <c r="F5227" s="31" t="s">
        <v>560</v>
      </c>
      <c r="G5227" s="31" t="str">
        <f t="shared" si="92"/>
        <v/>
      </c>
      <c r="H5227" s="35"/>
      <c r="I5227" s="31"/>
      <c r="J5227" s="155">
        <v>52</v>
      </c>
    </row>
    <row r="5228" spans="1:10" ht="15" thickBot="1" x14ac:dyDescent="0.35">
      <c r="A5228" s="226" t="s">
        <v>2086</v>
      </c>
      <c r="B5228" s="223" t="str">
        <f>INDEX(Orçamentária!A:B,MATCH(Composições!A5228,Orçamentária!A:A,0),2)</f>
        <v>Luminária LED para poste 60 W</v>
      </c>
      <c r="C5228" s="41"/>
      <c r="D5228" s="26" t="str">
        <f>TRIM(INDEX(Orçamentária!C:C,MATCH(Composições!A5228,Orçamentária!A:A,0),1))</f>
        <v>un</v>
      </c>
      <c r="E5228" s="27"/>
      <c r="F5228" s="42" t="s">
        <v>560</v>
      </c>
      <c r="G5228" s="28" t="str">
        <f t="shared" si="92"/>
        <v/>
      </c>
      <c r="H5228" s="29"/>
      <c r="I5228" s="30"/>
      <c r="J5228" s="155">
        <v>2</v>
      </c>
    </row>
    <row r="5229" spans="1:10" x14ac:dyDescent="0.3">
      <c r="A5229" s="229"/>
      <c r="B5229" s="224"/>
      <c r="C5229" s="32"/>
      <c r="D5229" s="32"/>
      <c r="E5229" s="33"/>
      <c r="F5229" s="43" t="s">
        <v>560</v>
      </c>
      <c r="G5229" s="31" t="str">
        <f t="shared" si="92"/>
        <v/>
      </c>
      <c r="H5229" s="35"/>
      <c r="I5229" s="31"/>
      <c r="J5229" s="155">
        <v>2</v>
      </c>
    </row>
    <row r="5230" spans="1:10" ht="52.8" x14ac:dyDescent="0.3">
      <c r="A5230" s="229"/>
      <c r="B5230" s="224"/>
      <c r="C5230" s="36" t="s">
        <v>1657</v>
      </c>
      <c r="D5230" s="36" t="s">
        <v>983</v>
      </c>
      <c r="E5230" s="37">
        <v>0.23880000000000001</v>
      </c>
      <c r="F5230" s="34">
        <v>158.76300000000001</v>
      </c>
      <c r="G5230" s="31">
        <f t="shared" si="92"/>
        <v>37.912604400000006</v>
      </c>
      <c r="H5230" s="39">
        <f>SUM(G5230:G5234)</f>
        <v>409.99402179999998</v>
      </c>
      <c r="I5230" s="40"/>
      <c r="J5230" s="155">
        <v>2</v>
      </c>
    </row>
    <row r="5231" spans="1:10" ht="26.4" x14ac:dyDescent="0.3">
      <c r="A5231" s="229"/>
      <c r="B5231" s="224"/>
      <c r="C5231" s="36" t="s">
        <v>1787</v>
      </c>
      <c r="D5231" s="36" t="s">
        <v>292</v>
      </c>
      <c r="E5231" s="37">
        <v>1.4E-2</v>
      </c>
      <c r="F5231" s="34">
        <v>3.1959999999999997</v>
      </c>
      <c r="G5231" s="31">
        <f t="shared" si="92"/>
        <v>4.4743999999999999E-2</v>
      </c>
      <c r="H5231" s="45"/>
      <c r="I5231" s="46"/>
      <c r="J5231" s="155">
        <v>2</v>
      </c>
    </row>
    <row r="5232" spans="1:10" ht="26.4" x14ac:dyDescent="0.3">
      <c r="A5232" s="229"/>
      <c r="B5232" s="224"/>
      <c r="C5232" s="36" t="s">
        <v>1794</v>
      </c>
      <c r="D5232" s="36" t="s">
        <v>292</v>
      </c>
      <c r="E5232" s="37">
        <v>1</v>
      </c>
      <c r="F5232" s="34">
        <v>363.36649999999997</v>
      </c>
      <c r="G5232" s="31">
        <f t="shared" si="92"/>
        <v>363.36649999999997</v>
      </c>
      <c r="H5232" s="45"/>
      <c r="I5232" s="46"/>
      <c r="J5232" s="155">
        <v>2</v>
      </c>
    </row>
    <row r="5233" spans="1:10" x14ac:dyDescent="0.3">
      <c r="A5233" s="229"/>
      <c r="B5233" s="224"/>
      <c r="C5233" s="36" t="s">
        <v>1214</v>
      </c>
      <c r="D5233" s="36" t="s">
        <v>744</v>
      </c>
      <c r="E5233" s="37">
        <v>0.23810000000000001</v>
      </c>
      <c r="F5233" s="31">
        <v>15.928999999999998</v>
      </c>
      <c r="G5233" s="31">
        <f t="shared" si="92"/>
        <v>3.7926948999999999</v>
      </c>
      <c r="H5233" s="35"/>
      <c r="I5233" s="31"/>
      <c r="J5233" s="155">
        <v>2</v>
      </c>
    </row>
    <row r="5234" spans="1:10" x14ac:dyDescent="0.3">
      <c r="A5234" s="229"/>
      <c r="B5234" s="224"/>
      <c r="C5234" s="36" t="s">
        <v>1215</v>
      </c>
      <c r="D5234" s="36" t="s">
        <v>744</v>
      </c>
      <c r="E5234" s="37">
        <v>0.23810000000000001</v>
      </c>
      <c r="F5234" s="31">
        <v>20.484999999999999</v>
      </c>
      <c r="G5234" s="31">
        <f t="shared" si="92"/>
        <v>4.8774784999999996</v>
      </c>
      <c r="H5234" s="35"/>
      <c r="I5234" s="31"/>
      <c r="J5234" s="155">
        <v>2</v>
      </c>
    </row>
    <row r="5235" spans="1:10" ht="15" thickBot="1" x14ac:dyDescent="0.35">
      <c r="A5235" s="230"/>
      <c r="B5235" s="225"/>
      <c r="C5235" s="36"/>
      <c r="D5235" s="36"/>
      <c r="E5235" s="37"/>
      <c r="F5235" s="31" t="s">
        <v>560</v>
      </c>
      <c r="G5235" s="31" t="str">
        <f t="shared" si="92"/>
        <v/>
      </c>
      <c r="H5235" s="35"/>
      <c r="I5235" s="31"/>
      <c r="J5235" s="155">
        <v>2</v>
      </c>
    </row>
    <row r="5236" spans="1:10" ht="15" thickBot="1" x14ac:dyDescent="0.35">
      <c r="A5236" s="226" t="s">
        <v>2087</v>
      </c>
      <c r="B5236" s="223" t="str">
        <f>INDEX(Orçamentária!A:B,MATCH(Composições!A5236,Orçamentária!A:A,0),2)</f>
        <v>Luminária LED para poste 120 W</v>
      </c>
      <c r="C5236" s="41"/>
      <c r="D5236" s="26" t="str">
        <f>TRIM(INDEX(Orçamentária!C:C,MATCH(Composições!A5236,Orçamentária!A:A,0),1))</f>
        <v>un</v>
      </c>
      <c r="E5236" s="27"/>
      <c r="F5236" s="42" t="s">
        <v>560</v>
      </c>
      <c r="G5236" s="28" t="str">
        <f t="shared" si="92"/>
        <v/>
      </c>
      <c r="H5236" s="29"/>
      <c r="I5236" s="30"/>
      <c r="J5236" s="155">
        <v>8</v>
      </c>
    </row>
    <row r="5237" spans="1:10" x14ac:dyDescent="0.3">
      <c r="A5237" s="229"/>
      <c r="B5237" s="224"/>
      <c r="C5237" s="32"/>
      <c r="D5237" s="32"/>
      <c r="E5237" s="33"/>
      <c r="F5237" s="43" t="s">
        <v>560</v>
      </c>
      <c r="G5237" s="31" t="str">
        <f t="shared" si="92"/>
        <v/>
      </c>
      <c r="H5237" s="35"/>
      <c r="I5237" s="31"/>
      <c r="J5237" s="155">
        <v>8</v>
      </c>
    </row>
    <row r="5238" spans="1:10" ht="52.8" x14ac:dyDescent="0.3">
      <c r="A5238" s="229"/>
      <c r="B5238" s="224"/>
      <c r="C5238" s="36" t="s">
        <v>1657</v>
      </c>
      <c r="D5238" s="36" t="s">
        <v>983</v>
      </c>
      <c r="E5238" s="37">
        <v>0.23880000000000001</v>
      </c>
      <c r="F5238" s="34">
        <v>158.76300000000001</v>
      </c>
      <c r="G5238" s="31">
        <f t="shared" si="92"/>
        <v>37.912604400000006</v>
      </c>
      <c r="H5238" s="39">
        <f>SUM(G5238:G5242)</f>
        <v>531.64602180000009</v>
      </c>
      <c r="I5238" s="40"/>
      <c r="J5238" s="155">
        <v>8</v>
      </c>
    </row>
    <row r="5239" spans="1:10" ht="26.4" x14ac:dyDescent="0.3">
      <c r="A5239" s="229"/>
      <c r="B5239" s="224"/>
      <c r="C5239" s="36" t="s">
        <v>1787</v>
      </c>
      <c r="D5239" s="36" t="s">
        <v>292</v>
      </c>
      <c r="E5239" s="37">
        <v>1.4E-2</v>
      </c>
      <c r="F5239" s="34">
        <v>3.1959999999999997</v>
      </c>
      <c r="G5239" s="31">
        <f t="shared" si="92"/>
        <v>4.4743999999999999E-2</v>
      </c>
      <c r="H5239" s="45"/>
      <c r="I5239" s="46"/>
      <c r="J5239" s="155">
        <v>8</v>
      </c>
    </row>
    <row r="5240" spans="1:10" ht="26.4" x14ac:dyDescent="0.3">
      <c r="A5240" s="229"/>
      <c r="B5240" s="224"/>
      <c r="C5240" s="36" t="s">
        <v>1795</v>
      </c>
      <c r="D5240" s="36" t="s">
        <v>292</v>
      </c>
      <c r="E5240" s="37">
        <v>1</v>
      </c>
      <c r="F5240" s="34">
        <v>485.01850000000002</v>
      </c>
      <c r="G5240" s="31">
        <f t="shared" si="92"/>
        <v>485.01850000000002</v>
      </c>
      <c r="H5240" s="45"/>
      <c r="I5240" s="46"/>
      <c r="J5240" s="155">
        <v>8</v>
      </c>
    </row>
    <row r="5241" spans="1:10" x14ac:dyDescent="0.3">
      <c r="A5241" s="229"/>
      <c r="B5241" s="224"/>
      <c r="C5241" s="36" t="s">
        <v>1214</v>
      </c>
      <c r="D5241" s="36" t="s">
        <v>744</v>
      </c>
      <c r="E5241" s="37">
        <v>0.23810000000000001</v>
      </c>
      <c r="F5241" s="31">
        <v>15.928999999999998</v>
      </c>
      <c r="G5241" s="31">
        <f t="shared" si="92"/>
        <v>3.7926948999999999</v>
      </c>
      <c r="H5241" s="35"/>
      <c r="I5241" s="31"/>
      <c r="J5241" s="155">
        <v>8</v>
      </c>
    </row>
    <row r="5242" spans="1:10" x14ac:dyDescent="0.3">
      <c r="A5242" s="229"/>
      <c r="B5242" s="224"/>
      <c r="C5242" s="36" t="s">
        <v>1215</v>
      </c>
      <c r="D5242" s="36" t="s">
        <v>744</v>
      </c>
      <c r="E5242" s="37">
        <v>0.23810000000000001</v>
      </c>
      <c r="F5242" s="31">
        <v>20.484999999999999</v>
      </c>
      <c r="G5242" s="31">
        <f t="shared" si="92"/>
        <v>4.8774784999999996</v>
      </c>
      <c r="H5242" s="35"/>
      <c r="I5242" s="31"/>
      <c r="J5242" s="155">
        <v>8</v>
      </c>
    </row>
    <row r="5243" spans="1:10" ht="15" thickBot="1" x14ac:dyDescent="0.35">
      <c r="A5243" s="230"/>
      <c r="B5243" s="225"/>
      <c r="C5243" s="36"/>
      <c r="D5243" s="36"/>
      <c r="E5243" s="37"/>
      <c r="F5243" s="31" t="s">
        <v>560</v>
      </c>
      <c r="G5243" s="31" t="str">
        <f t="shared" si="92"/>
        <v/>
      </c>
      <c r="H5243" s="35"/>
      <c r="I5243" s="31"/>
      <c r="J5243" s="155">
        <v>8</v>
      </c>
    </row>
    <row r="5244" spans="1:10" ht="15" thickBot="1" x14ac:dyDescent="0.35">
      <c r="A5244" s="226" t="s">
        <v>2093</v>
      </c>
      <c r="B5244" s="223" t="str">
        <f>INDEX(Orçamentária!A:B,MATCH(Composições!A5244,Orçamentária!A:A,0),2)</f>
        <v>Poste curvo simples 8 metros</v>
      </c>
      <c r="C5244" s="41"/>
      <c r="D5244" s="26" t="str">
        <f>TRIM(INDEX(Orçamentária!C:C,MATCH(Composições!A5244,Orçamentária!A:A,0),1))</f>
        <v>un</v>
      </c>
      <c r="E5244" s="27"/>
      <c r="F5244" s="42" t="s">
        <v>560</v>
      </c>
      <c r="G5244" s="28" t="str">
        <f t="shared" si="92"/>
        <v/>
      </c>
      <c r="H5244" s="29"/>
      <c r="I5244" s="30"/>
      <c r="J5244" s="155">
        <v>8</v>
      </c>
    </row>
    <row r="5245" spans="1:10" x14ac:dyDescent="0.3">
      <c r="A5245" s="229"/>
      <c r="B5245" s="224"/>
      <c r="C5245" s="32"/>
      <c r="D5245" s="32"/>
      <c r="E5245" s="33"/>
      <c r="F5245" s="43" t="s">
        <v>560</v>
      </c>
      <c r="G5245" s="31" t="str">
        <f t="shared" si="92"/>
        <v/>
      </c>
      <c r="H5245" s="35"/>
      <c r="I5245" s="31"/>
      <c r="J5245" s="155">
        <v>8</v>
      </c>
    </row>
    <row r="5246" spans="1:10" ht="26.4" x14ac:dyDescent="0.3">
      <c r="A5246" s="229"/>
      <c r="B5246" s="224"/>
      <c r="C5246" s="36" t="s">
        <v>1819</v>
      </c>
      <c r="D5246" s="36" t="s">
        <v>292</v>
      </c>
      <c r="E5246" s="37">
        <v>1</v>
      </c>
      <c r="F5246" s="34">
        <v>1861.075</v>
      </c>
      <c r="G5246" s="31">
        <f t="shared" si="92"/>
        <v>1861.075</v>
      </c>
      <c r="H5246" s="39">
        <f>SUM(G5246:G5249)</f>
        <v>1925.0656435000001</v>
      </c>
      <c r="I5246" s="40"/>
      <c r="J5246" s="155">
        <v>8</v>
      </c>
    </row>
    <row r="5247" spans="1:10" ht="52.8" x14ac:dyDescent="0.3">
      <c r="A5247" s="229"/>
      <c r="B5247" s="224"/>
      <c r="C5247" s="36" t="s">
        <v>1657</v>
      </c>
      <c r="D5247" s="36" t="s">
        <v>983</v>
      </c>
      <c r="E5247" s="37">
        <v>0.111</v>
      </c>
      <c r="F5247" s="34">
        <v>158.76300000000001</v>
      </c>
      <c r="G5247" s="31">
        <f t="shared" si="92"/>
        <v>17.622693000000002</v>
      </c>
      <c r="H5247" s="45"/>
      <c r="I5247" s="46"/>
      <c r="J5247" s="155">
        <v>8</v>
      </c>
    </row>
    <row r="5248" spans="1:10" x14ac:dyDescent="0.3">
      <c r="A5248" s="229"/>
      <c r="B5248" s="224"/>
      <c r="C5248" s="36" t="s">
        <v>1214</v>
      </c>
      <c r="D5248" s="36" t="s">
        <v>744</v>
      </c>
      <c r="E5248" s="37">
        <f>1.124/2</f>
        <v>0.56200000000000006</v>
      </c>
      <c r="F5248" s="34">
        <v>15.928999999999998</v>
      </c>
      <c r="G5248" s="31">
        <f t="shared" si="92"/>
        <v>8.9520979999999994</v>
      </c>
      <c r="H5248" s="45"/>
      <c r="I5248" s="46"/>
      <c r="J5248" s="155">
        <v>8</v>
      </c>
    </row>
    <row r="5249" spans="1:10" x14ac:dyDescent="0.3">
      <c r="A5249" s="229"/>
      <c r="B5249" s="224"/>
      <c r="C5249" s="36" t="s">
        <v>1215</v>
      </c>
      <c r="D5249" s="36" t="s">
        <v>744</v>
      </c>
      <c r="E5249" s="37">
        <f>3.653/2</f>
        <v>1.8265</v>
      </c>
      <c r="F5249" s="31">
        <v>20.484999999999999</v>
      </c>
      <c r="G5249" s="31">
        <f t="shared" si="92"/>
        <v>37.4158525</v>
      </c>
      <c r="H5249" s="35"/>
      <c r="I5249" s="31"/>
      <c r="J5249" s="155">
        <v>8</v>
      </c>
    </row>
    <row r="5250" spans="1:10" ht="15" thickBot="1" x14ac:dyDescent="0.35">
      <c r="A5250" s="230"/>
      <c r="B5250" s="225"/>
      <c r="C5250" s="36"/>
      <c r="D5250" s="36"/>
      <c r="E5250" s="37"/>
      <c r="F5250" s="31" t="s">
        <v>560</v>
      </c>
      <c r="G5250" s="31" t="str">
        <f t="shared" si="92"/>
        <v/>
      </c>
      <c r="H5250" s="35"/>
      <c r="I5250" s="31"/>
      <c r="J5250" s="155">
        <v>8</v>
      </c>
    </row>
    <row r="5251" spans="1:10" ht="15" thickBot="1" x14ac:dyDescent="0.35">
      <c r="A5251" s="220" t="s">
        <v>2094</v>
      </c>
      <c r="B5251" s="233" t="str">
        <f>INDEX(Orçamentária!A:B,MATCH(Composições!A5251,Orçamentária!A:A,0),2)</f>
        <v>Caixa de Passagem Subterrânea 300x300x500mm</v>
      </c>
      <c r="C5251" s="41"/>
      <c r="D5251" s="26" t="str">
        <f>TRIM(INDEX(Orçamentária!C:C,MATCH(Composições!A5251,Orçamentária!A:A,0),1))</f>
        <v>un</v>
      </c>
      <c r="E5251" s="27"/>
      <c r="F5251" s="42" t="s">
        <v>560</v>
      </c>
      <c r="G5251" s="28" t="str">
        <f t="shared" si="92"/>
        <v/>
      </c>
      <c r="H5251" s="29"/>
      <c r="I5251" s="30"/>
      <c r="J5251" s="155">
        <v>9</v>
      </c>
    </row>
    <row r="5252" spans="1:10" x14ac:dyDescent="0.3">
      <c r="A5252" s="231"/>
      <c r="B5252" s="234"/>
      <c r="C5252" s="32"/>
      <c r="D5252" s="32"/>
      <c r="E5252" s="33"/>
      <c r="F5252" s="43" t="s">
        <v>560</v>
      </c>
      <c r="G5252" s="31" t="str">
        <f t="shared" si="92"/>
        <v/>
      </c>
      <c r="H5252" s="35"/>
      <c r="I5252" s="31"/>
      <c r="J5252" s="155">
        <v>9</v>
      </c>
    </row>
    <row r="5253" spans="1:10" x14ac:dyDescent="0.3">
      <c r="A5253" s="231"/>
      <c r="B5253" s="234"/>
      <c r="C5253" s="36" t="s">
        <v>1924</v>
      </c>
      <c r="D5253" s="36" t="s">
        <v>292</v>
      </c>
      <c r="E5253" s="37">
        <f>48.7507*5/3</f>
        <v>81.251166666666663</v>
      </c>
      <c r="F5253" s="31">
        <v>0.59499999999999997</v>
      </c>
      <c r="G5253" s="34">
        <f t="shared" si="92"/>
        <v>48.344444166666662</v>
      </c>
      <c r="H5253" s="39">
        <f>SUM(G5253:G5259)</f>
        <v>209.82356034161762</v>
      </c>
      <c r="I5253" s="40"/>
      <c r="J5253" s="155">
        <v>9</v>
      </c>
    </row>
    <row r="5254" spans="1:10" ht="39.6" x14ac:dyDescent="0.3">
      <c r="A5254" s="231"/>
      <c r="B5254" s="234"/>
      <c r="C5254" s="36" t="s">
        <v>1045</v>
      </c>
      <c r="D5254" s="36" t="s">
        <v>122</v>
      </c>
      <c r="E5254" s="37">
        <f>0.0004*5/3</f>
        <v>6.6666666666666664E-4</v>
      </c>
      <c r="F5254" s="31">
        <v>396.96666423299996</v>
      </c>
      <c r="G5254" s="34">
        <f t="shared" si="92"/>
        <v>0.26464444282199995</v>
      </c>
      <c r="H5254" s="35"/>
      <c r="I5254" s="31"/>
      <c r="J5254" s="155">
        <v>9</v>
      </c>
    </row>
    <row r="5255" spans="1:10" x14ac:dyDescent="0.3">
      <c r="A5255" s="231"/>
      <c r="B5255" s="234"/>
      <c r="C5255" s="36" t="s">
        <v>752</v>
      </c>
      <c r="D5255" s="36" t="s">
        <v>744</v>
      </c>
      <c r="E5255" s="37">
        <f>1.5362*5/3</f>
        <v>2.5603333333333333</v>
      </c>
      <c r="F5255" s="34">
        <v>20.314999999999998</v>
      </c>
      <c r="G5255" s="31">
        <f t="shared" si="92"/>
        <v>52.013171666666658</v>
      </c>
      <c r="H5255" s="35"/>
      <c r="I5255" s="31"/>
      <c r="J5255" s="155">
        <v>9</v>
      </c>
    </row>
    <row r="5256" spans="1:10" x14ac:dyDescent="0.3">
      <c r="A5256" s="231"/>
      <c r="B5256" s="234"/>
      <c r="C5256" s="36" t="s">
        <v>745</v>
      </c>
      <c r="D5256" s="36" t="s">
        <v>744</v>
      </c>
      <c r="E5256" s="37">
        <f>1.5362*5/3</f>
        <v>2.5603333333333333</v>
      </c>
      <c r="F5256" s="31">
        <v>14.968499999999999</v>
      </c>
      <c r="G5256" s="34">
        <f t="shared" si="92"/>
        <v>38.324349499999997</v>
      </c>
      <c r="H5256" s="35"/>
      <c r="I5256" s="40"/>
      <c r="J5256" s="155">
        <v>9</v>
      </c>
    </row>
    <row r="5257" spans="1:10" ht="26.4" x14ac:dyDescent="0.3">
      <c r="A5257" s="231"/>
      <c r="B5257" s="234"/>
      <c r="C5257" s="36" t="s">
        <v>1690</v>
      </c>
      <c r="D5257" s="36" t="s">
        <v>122</v>
      </c>
      <c r="E5257" s="37">
        <f>0.0278*5/3</f>
        <v>4.6333333333333331E-2</v>
      </c>
      <c r="F5257" s="31">
        <v>405.61079444050006</v>
      </c>
      <c r="G5257" s="34">
        <f t="shared" si="92"/>
        <v>18.793300142409834</v>
      </c>
      <c r="H5257" s="35"/>
      <c r="I5257" s="31"/>
      <c r="J5257" s="155">
        <v>9</v>
      </c>
    </row>
    <row r="5258" spans="1:10" ht="26.4" x14ac:dyDescent="0.3">
      <c r="A5258" s="231"/>
      <c r="B5258" s="234"/>
      <c r="C5258" s="36" t="s">
        <v>1680</v>
      </c>
      <c r="D5258" s="36" t="s">
        <v>122</v>
      </c>
      <c r="E5258" s="37">
        <f>0.0175</f>
        <v>1.7500000000000002E-2</v>
      </c>
      <c r="F5258" s="34">
        <v>2365.7228341549999</v>
      </c>
      <c r="G5258" s="31">
        <f t="shared" si="92"/>
        <v>41.400149597712499</v>
      </c>
      <c r="H5258" s="35"/>
      <c r="I5258" s="31"/>
      <c r="J5258" s="155">
        <v>9</v>
      </c>
    </row>
    <row r="5259" spans="1:10" ht="26.4" x14ac:dyDescent="0.3">
      <c r="A5259" s="231"/>
      <c r="B5259" s="234"/>
      <c r="C5259" s="36" t="s">
        <v>2021</v>
      </c>
      <c r="D5259" s="36" t="s">
        <v>122</v>
      </c>
      <c r="E5259" s="37">
        <f>0.036</f>
        <v>3.5999999999999997E-2</v>
      </c>
      <c r="F5259" s="31">
        <v>296.76391181500003</v>
      </c>
      <c r="G5259" s="34">
        <f t="shared" si="92"/>
        <v>10.683500825339999</v>
      </c>
      <c r="H5259" s="35"/>
      <c r="I5259" s="40"/>
      <c r="J5259" s="155">
        <v>9</v>
      </c>
    </row>
    <row r="5260" spans="1:10" ht="15" thickBot="1" x14ac:dyDescent="0.35">
      <c r="A5260" s="232"/>
      <c r="B5260" s="235"/>
      <c r="C5260" s="36"/>
      <c r="D5260" s="36"/>
      <c r="E5260" s="37"/>
      <c r="F5260" s="31" t="s">
        <v>560</v>
      </c>
      <c r="G5260" s="31" t="str">
        <f t="shared" si="92"/>
        <v/>
      </c>
      <c r="H5260" s="35"/>
      <c r="I5260" s="31"/>
      <c r="J5260" s="155">
        <v>9</v>
      </c>
    </row>
    <row r="5261" spans="1:10" ht="15" thickBot="1" x14ac:dyDescent="0.35">
      <c r="A5261" s="220" t="s">
        <v>2097</v>
      </c>
      <c r="B5261" s="233" t="str">
        <f>INDEX(Orçamentária!A:B,MATCH(Composições!A5261,Orçamentária!A:A,0),2)</f>
        <v>Caixa de Passagem Subterrânea 600x600x800mm</v>
      </c>
      <c r="C5261" s="41"/>
      <c r="D5261" s="26" t="str">
        <f>TRIM(INDEX(Orçamentária!C:C,MATCH(Composições!A5261,Orçamentária!A:A,0),1))</f>
        <v>un</v>
      </c>
      <c r="E5261" s="27"/>
      <c r="F5261" s="42" t="s">
        <v>560</v>
      </c>
      <c r="G5261" s="28" t="str">
        <f t="shared" si="92"/>
        <v/>
      </c>
      <c r="H5261" s="29"/>
      <c r="I5261" s="30"/>
      <c r="J5261" s="155">
        <v>3</v>
      </c>
    </row>
    <row r="5262" spans="1:10" x14ac:dyDescent="0.3">
      <c r="A5262" s="231"/>
      <c r="B5262" s="234"/>
      <c r="C5262" s="32"/>
      <c r="D5262" s="32"/>
      <c r="E5262" s="33"/>
      <c r="F5262" s="43" t="s">
        <v>560</v>
      </c>
      <c r="G5262" s="31" t="str">
        <f t="shared" si="92"/>
        <v/>
      </c>
      <c r="H5262" s="35"/>
      <c r="I5262" s="31"/>
      <c r="J5262" s="155">
        <v>3</v>
      </c>
    </row>
    <row r="5263" spans="1:10" ht="52.8" x14ac:dyDescent="0.3">
      <c r="A5263" s="231"/>
      <c r="B5263" s="234"/>
      <c r="C5263" s="36" t="s">
        <v>1655</v>
      </c>
      <c r="D5263" s="36" t="s">
        <v>983</v>
      </c>
      <c r="E5263" s="37">
        <f>ROUND(0.0087*8/6,4)</f>
        <v>1.1599999999999999E-2</v>
      </c>
      <c r="F5263" s="31">
        <v>90.414500000000004</v>
      </c>
      <c r="G5263" s="34">
        <f t="shared" si="92"/>
        <v>1.0488082000000001</v>
      </c>
      <c r="H5263" s="39">
        <f>SUM(G5263:G5271)</f>
        <v>559.21698357019409</v>
      </c>
      <c r="I5263" s="40"/>
      <c r="J5263" s="155">
        <v>3</v>
      </c>
    </row>
    <row r="5264" spans="1:10" ht="52.8" x14ac:dyDescent="0.3">
      <c r="A5264" s="231"/>
      <c r="B5264" s="234"/>
      <c r="C5264" s="36" t="s">
        <v>1663</v>
      </c>
      <c r="D5264" s="36" t="s">
        <v>985</v>
      </c>
      <c r="E5264" s="37">
        <f>ROUND(0.0294*8/6,4)</f>
        <v>3.9199999999999999E-2</v>
      </c>
      <c r="F5264" s="31">
        <v>36.158999999999999</v>
      </c>
      <c r="G5264" s="34">
        <f t="shared" si="92"/>
        <v>1.4174327999999998</v>
      </c>
      <c r="H5264" s="35"/>
      <c r="I5264" s="31"/>
      <c r="J5264" s="155">
        <v>3</v>
      </c>
    </row>
    <row r="5265" spans="1:10" x14ac:dyDescent="0.3">
      <c r="A5265" s="231"/>
      <c r="B5265" s="234"/>
      <c r="C5265" s="36" t="s">
        <v>1924</v>
      </c>
      <c r="D5265" s="36" t="s">
        <v>292</v>
      </c>
      <c r="E5265" s="37">
        <f>ROUND(169.8027*8/6,4)</f>
        <v>226.40360000000001</v>
      </c>
      <c r="F5265" s="34">
        <v>0.59499999999999997</v>
      </c>
      <c r="G5265" s="31">
        <f t="shared" si="92"/>
        <v>134.71014199999999</v>
      </c>
      <c r="H5265" s="35"/>
      <c r="I5265" s="31"/>
      <c r="J5265" s="155">
        <v>3</v>
      </c>
    </row>
    <row r="5266" spans="1:10" ht="39.6" x14ac:dyDescent="0.3">
      <c r="A5266" s="231"/>
      <c r="B5266" s="234"/>
      <c r="C5266" s="36" t="s">
        <v>1045</v>
      </c>
      <c r="D5266" s="36" t="s">
        <v>122</v>
      </c>
      <c r="E5266" s="37">
        <f>ROUND(0.0014*8/6,4)</f>
        <v>1.9E-3</v>
      </c>
      <c r="F5266" s="31">
        <v>396.96666423299996</v>
      </c>
      <c r="G5266" s="34">
        <f t="shared" si="92"/>
        <v>0.7542366620426999</v>
      </c>
      <c r="H5266" s="35"/>
      <c r="I5266" s="40"/>
      <c r="J5266" s="155">
        <v>3</v>
      </c>
    </row>
    <row r="5267" spans="1:10" x14ac:dyDescent="0.3">
      <c r="A5267" s="231"/>
      <c r="B5267" s="234"/>
      <c r="C5267" s="36" t="s">
        <v>752</v>
      </c>
      <c r="D5267" s="36" t="s">
        <v>744</v>
      </c>
      <c r="E5267" s="37">
        <f>ROUND(5.4392*8/6,4)</f>
        <v>7.2523</v>
      </c>
      <c r="F5267" s="31">
        <v>20.314999999999998</v>
      </c>
      <c r="G5267" s="34">
        <f t="shared" si="92"/>
        <v>147.33047449999998</v>
      </c>
      <c r="H5267" s="35"/>
      <c r="I5267" s="31"/>
      <c r="J5267" s="155">
        <v>3</v>
      </c>
    </row>
    <row r="5268" spans="1:10" x14ac:dyDescent="0.3">
      <c r="A5268" s="231"/>
      <c r="B5268" s="234"/>
      <c r="C5268" s="36" t="s">
        <v>745</v>
      </c>
      <c r="D5268" s="36" t="s">
        <v>744</v>
      </c>
      <c r="E5268" s="37">
        <f>ROUND(5.4392*8/6,4)</f>
        <v>7.2523</v>
      </c>
      <c r="F5268" s="34">
        <v>14.968499999999999</v>
      </c>
      <c r="G5268" s="31">
        <f t="shared" si="92"/>
        <v>108.55605254999999</v>
      </c>
      <c r="H5268" s="35"/>
      <c r="I5268" s="31"/>
      <c r="J5268" s="155">
        <v>3</v>
      </c>
    </row>
    <row r="5269" spans="1:10" ht="26.4" x14ac:dyDescent="0.3">
      <c r="A5269" s="231"/>
      <c r="B5269" s="234"/>
      <c r="C5269" s="36" t="s">
        <v>1690</v>
      </c>
      <c r="D5269" s="36" t="s">
        <v>122</v>
      </c>
      <c r="E5269" s="37">
        <f>ROUND(0.1012*8/6,4)</f>
        <v>0.13489999999999999</v>
      </c>
      <c r="F5269" s="31">
        <v>405.61079444050006</v>
      </c>
      <c r="G5269" s="34">
        <f t="shared" si="92"/>
        <v>54.716896170023453</v>
      </c>
      <c r="H5269" s="35"/>
      <c r="I5269" s="40"/>
      <c r="J5269" s="155">
        <v>3</v>
      </c>
    </row>
    <row r="5270" spans="1:10" ht="26.4" x14ac:dyDescent="0.3">
      <c r="A5270" s="231"/>
      <c r="B5270" s="234"/>
      <c r="C5270" s="36" t="s">
        <v>1681</v>
      </c>
      <c r="D5270" s="36" t="s">
        <v>122</v>
      </c>
      <c r="E5270" s="37">
        <v>4.48E-2</v>
      </c>
      <c r="F5270" s="31">
        <v>1992.8849412993961</v>
      </c>
      <c r="G5270" s="34">
        <f t="shared" si="92"/>
        <v>89.281245370212943</v>
      </c>
      <c r="H5270" s="35"/>
      <c r="I5270" s="31"/>
      <c r="J5270" s="155">
        <v>3</v>
      </c>
    </row>
    <row r="5271" spans="1:10" ht="26.4" x14ac:dyDescent="0.3">
      <c r="A5271" s="231"/>
      <c r="B5271" s="234"/>
      <c r="C5271" s="36" t="s">
        <v>2022</v>
      </c>
      <c r="D5271" s="36" t="s">
        <v>122</v>
      </c>
      <c r="E5271" s="37">
        <v>8.1000000000000003E-2</v>
      </c>
      <c r="F5271" s="34">
        <v>264.21846071500005</v>
      </c>
      <c r="G5271" s="31">
        <f t="shared" si="92"/>
        <v>21.401695317915003</v>
      </c>
      <c r="H5271" s="35"/>
      <c r="I5271" s="31"/>
      <c r="J5271" s="155">
        <v>3</v>
      </c>
    </row>
    <row r="5272" spans="1:10" ht="15" thickBot="1" x14ac:dyDescent="0.35">
      <c r="A5272" s="232"/>
      <c r="B5272" s="235"/>
      <c r="C5272" s="36"/>
      <c r="D5272" s="36"/>
      <c r="E5272" s="37"/>
      <c r="F5272" s="31" t="s">
        <v>560</v>
      </c>
      <c r="G5272" s="31" t="str">
        <f t="shared" si="92"/>
        <v/>
      </c>
      <c r="H5272" s="35"/>
      <c r="I5272" s="31"/>
      <c r="J5272" s="155">
        <v>3</v>
      </c>
    </row>
    <row r="5273" spans="1:10" ht="15" thickBot="1" x14ac:dyDescent="0.35">
      <c r="A5273" s="226" t="s">
        <v>2099</v>
      </c>
      <c r="B5273" s="223" t="str">
        <f>INDEX(Orçamentária!A:B,MATCH(Composições!A5273,Orçamentária!A:A,0),2)</f>
        <v>Kit terminal para cabo de potência, 8,7 kV/15 kV, 95 mm²</v>
      </c>
      <c r="C5273" s="41"/>
      <c r="D5273" s="26" t="str">
        <f>TRIM(INDEX(Orçamentária!C:C,MATCH(Composições!A5273,Orçamentária!A:A,0),1))</f>
        <v>un</v>
      </c>
      <c r="E5273" s="27"/>
      <c r="F5273" s="42" t="s">
        <v>560</v>
      </c>
      <c r="G5273" s="28" t="str">
        <f t="shared" si="92"/>
        <v/>
      </c>
      <c r="H5273" s="29"/>
      <c r="I5273" s="30"/>
      <c r="J5273" s="155">
        <v>32</v>
      </c>
    </row>
    <row r="5274" spans="1:10" x14ac:dyDescent="0.3">
      <c r="A5274" s="229"/>
      <c r="B5274" s="224"/>
      <c r="C5274" s="32"/>
      <c r="D5274" s="32"/>
      <c r="E5274" s="33"/>
      <c r="F5274" s="43" t="s">
        <v>560</v>
      </c>
      <c r="G5274" s="31" t="str">
        <f t="shared" si="92"/>
        <v/>
      </c>
      <c r="H5274" s="35"/>
      <c r="I5274" s="31"/>
      <c r="J5274" s="155">
        <v>32</v>
      </c>
    </row>
    <row r="5275" spans="1:10" x14ac:dyDescent="0.3">
      <c r="A5275" s="229"/>
      <c r="B5275" s="224"/>
      <c r="C5275" s="36" t="s">
        <v>2406</v>
      </c>
      <c r="D5275" s="36" t="s">
        <v>292</v>
      </c>
      <c r="E5275" s="37">
        <v>1</v>
      </c>
      <c r="F5275" s="34">
        <v>251.54</v>
      </c>
      <c r="G5275" s="31">
        <f t="shared" si="92"/>
        <v>251.54</v>
      </c>
      <c r="H5275" s="39">
        <f>SUM(G5275:G5277)</f>
        <v>269.74700000000001</v>
      </c>
      <c r="I5275" s="40"/>
      <c r="J5275" s="155">
        <v>32</v>
      </c>
    </row>
    <row r="5276" spans="1:10" x14ac:dyDescent="0.3">
      <c r="A5276" s="229"/>
      <c r="B5276" s="224"/>
      <c r="C5276" s="36" t="s">
        <v>1214</v>
      </c>
      <c r="D5276" s="36" t="s">
        <v>744</v>
      </c>
      <c r="E5276" s="37">
        <v>0.5</v>
      </c>
      <c r="F5276" s="34">
        <v>15.928999999999998</v>
      </c>
      <c r="G5276" s="31">
        <f t="shared" si="92"/>
        <v>7.9644999999999992</v>
      </c>
      <c r="H5276" s="45"/>
      <c r="I5276" s="46"/>
      <c r="J5276" s="155">
        <v>32</v>
      </c>
    </row>
    <row r="5277" spans="1:10" x14ac:dyDescent="0.3">
      <c r="A5277" s="229"/>
      <c r="B5277" s="224"/>
      <c r="C5277" s="36" t="s">
        <v>1215</v>
      </c>
      <c r="D5277" s="36" t="s">
        <v>744</v>
      </c>
      <c r="E5277" s="37">
        <v>0.5</v>
      </c>
      <c r="F5277" s="31">
        <v>20.484999999999999</v>
      </c>
      <c r="G5277" s="31">
        <f t="shared" ref="G5277:G5340" si="93">IF(ISNUMBER(F5277),E5277*F5277,"")</f>
        <v>10.2425</v>
      </c>
      <c r="H5277" s="35"/>
      <c r="I5277" s="31"/>
      <c r="J5277" s="155">
        <v>32</v>
      </c>
    </row>
    <row r="5278" spans="1:10" ht="15" thickBot="1" x14ac:dyDescent="0.35">
      <c r="A5278" s="230"/>
      <c r="B5278" s="225"/>
      <c r="C5278" s="36"/>
      <c r="D5278" s="36"/>
      <c r="E5278" s="37"/>
      <c r="F5278" s="31" t="s">
        <v>560</v>
      </c>
      <c r="G5278" s="31" t="str">
        <f t="shared" si="93"/>
        <v/>
      </c>
      <c r="H5278" s="35"/>
      <c r="I5278" s="31"/>
      <c r="J5278" s="155">
        <v>32</v>
      </c>
    </row>
    <row r="5279" spans="1:10" ht="15" thickBot="1" x14ac:dyDescent="0.35">
      <c r="A5279" s="226" t="s">
        <v>2100</v>
      </c>
      <c r="B5279" s="223" t="str">
        <f>INDEX(Orçamentária!A:B,MATCH(Composições!A5279,Orçamentária!A:A,0),2)</f>
        <v>Kit terminal para cabo de potência, 8,7 kV/15 kV, 240 mm²</v>
      </c>
      <c r="C5279" s="41"/>
      <c r="D5279" s="26" t="str">
        <f>TRIM(INDEX(Orçamentária!C:C,MATCH(Composições!A5279,Orçamentária!A:A,0),1))</f>
        <v>un</v>
      </c>
      <c r="E5279" s="27"/>
      <c r="F5279" s="42" t="s">
        <v>560</v>
      </c>
      <c r="G5279" s="28" t="str">
        <f t="shared" si="93"/>
        <v/>
      </c>
      <c r="H5279" s="29"/>
      <c r="I5279" s="30"/>
      <c r="J5279" s="155">
        <v>32</v>
      </c>
    </row>
    <row r="5280" spans="1:10" x14ac:dyDescent="0.3">
      <c r="A5280" s="229"/>
      <c r="B5280" s="224"/>
      <c r="C5280" s="32"/>
      <c r="D5280" s="32"/>
      <c r="E5280" s="33"/>
      <c r="F5280" s="43" t="s">
        <v>560</v>
      </c>
      <c r="G5280" s="31" t="str">
        <f t="shared" si="93"/>
        <v/>
      </c>
      <c r="H5280" s="35"/>
      <c r="I5280" s="31"/>
      <c r="J5280" s="155">
        <v>32</v>
      </c>
    </row>
    <row r="5281" spans="1:10" x14ac:dyDescent="0.3">
      <c r="A5281" s="229"/>
      <c r="B5281" s="224"/>
      <c r="C5281" s="36" t="s">
        <v>2405</v>
      </c>
      <c r="D5281" s="36" t="s">
        <v>292</v>
      </c>
      <c r="E5281" s="37">
        <v>1</v>
      </c>
      <c r="F5281" s="34">
        <v>278.89999999999998</v>
      </c>
      <c r="G5281" s="31">
        <f t="shared" si="93"/>
        <v>278.89999999999998</v>
      </c>
      <c r="H5281" s="39">
        <f>SUM(G5281:G5283)</f>
        <v>297.10699999999997</v>
      </c>
      <c r="I5281" s="40"/>
      <c r="J5281" s="155">
        <v>32</v>
      </c>
    </row>
    <row r="5282" spans="1:10" x14ac:dyDescent="0.3">
      <c r="A5282" s="229"/>
      <c r="B5282" s="224"/>
      <c r="C5282" s="36" t="s">
        <v>1214</v>
      </c>
      <c r="D5282" s="36" t="s">
        <v>744</v>
      </c>
      <c r="E5282" s="37">
        <v>0.5</v>
      </c>
      <c r="F5282" s="34">
        <v>15.928999999999998</v>
      </c>
      <c r="G5282" s="31">
        <f t="shared" si="93"/>
        <v>7.9644999999999992</v>
      </c>
      <c r="H5282" s="45"/>
      <c r="I5282" s="46"/>
      <c r="J5282" s="155">
        <v>32</v>
      </c>
    </row>
    <row r="5283" spans="1:10" x14ac:dyDescent="0.3">
      <c r="A5283" s="229"/>
      <c r="B5283" s="224"/>
      <c r="C5283" s="36" t="s">
        <v>1215</v>
      </c>
      <c r="D5283" s="36" t="s">
        <v>744</v>
      </c>
      <c r="E5283" s="37">
        <v>0.5</v>
      </c>
      <c r="F5283" s="31">
        <v>20.484999999999999</v>
      </c>
      <c r="G5283" s="31">
        <f t="shared" si="93"/>
        <v>10.2425</v>
      </c>
      <c r="H5283" s="35"/>
      <c r="I5283" s="31"/>
      <c r="J5283" s="155">
        <v>32</v>
      </c>
    </row>
    <row r="5284" spans="1:10" ht="15" thickBot="1" x14ac:dyDescent="0.35">
      <c r="A5284" s="230"/>
      <c r="B5284" s="225"/>
      <c r="C5284" s="36"/>
      <c r="D5284" s="36"/>
      <c r="E5284" s="37"/>
      <c r="F5284" s="31" t="s">
        <v>560</v>
      </c>
      <c r="G5284" s="31" t="str">
        <f t="shared" si="93"/>
        <v/>
      </c>
      <c r="H5284" s="35"/>
      <c r="I5284" s="31"/>
      <c r="J5284" s="155">
        <v>32</v>
      </c>
    </row>
    <row r="5285" spans="1:10" ht="15" thickBot="1" x14ac:dyDescent="0.35">
      <c r="A5285" s="226" t="s">
        <v>2101</v>
      </c>
      <c r="B5285" s="223" t="str">
        <f>INDEX(Orçamentária!A:B,MATCH(Composições!A5285,Orçamentária!A:A,0),2)</f>
        <v>Tomada para condulete (20 A)</v>
      </c>
      <c r="C5285" s="41"/>
      <c r="D5285" s="26" t="str">
        <f>TRIM(INDEX(Orçamentária!C:C,MATCH(Composições!A5285,Orçamentária!A:A,0),1))</f>
        <v>un</v>
      </c>
      <c r="E5285" s="27"/>
      <c r="F5285" s="42" t="s">
        <v>560</v>
      </c>
      <c r="G5285" s="28" t="str">
        <f t="shared" si="93"/>
        <v/>
      </c>
      <c r="H5285" s="29"/>
      <c r="I5285" s="30"/>
      <c r="J5285" s="155">
        <v>12</v>
      </c>
    </row>
    <row r="5286" spans="1:10" x14ac:dyDescent="0.3">
      <c r="A5286" s="229"/>
      <c r="B5286" s="224"/>
      <c r="C5286" s="32"/>
      <c r="D5286" s="32"/>
      <c r="E5286" s="33"/>
      <c r="F5286" s="43" t="s">
        <v>560</v>
      </c>
      <c r="G5286" s="31" t="str">
        <f t="shared" si="93"/>
        <v/>
      </c>
      <c r="H5286" s="35"/>
      <c r="I5286" s="31"/>
      <c r="J5286" s="155">
        <v>12</v>
      </c>
    </row>
    <row r="5287" spans="1:10" x14ac:dyDescent="0.3">
      <c r="A5287" s="229"/>
      <c r="B5287" s="224"/>
      <c r="C5287" s="36" t="s">
        <v>30</v>
      </c>
      <c r="D5287" s="36" t="s">
        <v>12</v>
      </c>
      <c r="E5287" s="37">
        <v>0.308</v>
      </c>
      <c r="F5287" s="31">
        <v>20.484999999999999</v>
      </c>
      <c r="G5287" s="34">
        <f t="shared" si="93"/>
        <v>6.30938</v>
      </c>
      <c r="H5287" s="39">
        <f>SUM(G5287:G5290)</f>
        <v>29.475511999999998</v>
      </c>
      <c r="I5287" s="40"/>
      <c r="J5287" s="155">
        <v>12</v>
      </c>
    </row>
    <row r="5288" spans="1:10" x14ac:dyDescent="0.3">
      <c r="A5288" s="229"/>
      <c r="B5288" s="224"/>
      <c r="C5288" s="36" t="s">
        <v>74</v>
      </c>
      <c r="D5288" s="36" t="s">
        <v>12</v>
      </c>
      <c r="E5288" s="37">
        <v>0.308</v>
      </c>
      <c r="F5288" s="31">
        <v>15.928999999999998</v>
      </c>
      <c r="G5288" s="34">
        <f t="shared" si="93"/>
        <v>4.9061319999999995</v>
      </c>
      <c r="H5288" s="35"/>
      <c r="I5288" s="31"/>
      <c r="J5288" s="155">
        <v>12</v>
      </c>
    </row>
    <row r="5289" spans="1:10" ht="26.4" x14ac:dyDescent="0.3">
      <c r="A5289" s="229"/>
      <c r="B5289" s="224"/>
      <c r="C5289" s="36" t="s">
        <v>543</v>
      </c>
      <c r="D5289" s="36" t="s">
        <v>20</v>
      </c>
      <c r="E5289" s="37">
        <v>1</v>
      </c>
      <c r="F5289" s="34">
        <v>4.97</v>
      </c>
      <c r="G5289" s="34">
        <f t="shared" si="93"/>
        <v>4.97</v>
      </c>
      <c r="H5289" s="35"/>
      <c r="I5289" s="31"/>
      <c r="J5289" s="155">
        <v>12</v>
      </c>
    </row>
    <row r="5290" spans="1:10" ht="26.4" x14ac:dyDescent="0.3">
      <c r="A5290" s="229"/>
      <c r="B5290" s="224"/>
      <c r="C5290" s="36" t="s">
        <v>2407</v>
      </c>
      <c r="D5290" s="36" t="s">
        <v>20</v>
      </c>
      <c r="E5290" s="37">
        <v>1</v>
      </c>
      <c r="F5290" s="34">
        <v>13.29</v>
      </c>
      <c r="G5290" s="31">
        <f t="shared" si="93"/>
        <v>13.29</v>
      </c>
      <c r="H5290" s="35"/>
      <c r="I5290" s="31"/>
      <c r="J5290" s="155">
        <v>12</v>
      </c>
    </row>
    <row r="5291" spans="1:10" ht="15" thickBot="1" x14ac:dyDescent="0.35">
      <c r="A5291" s="230"/>
      <c r="B5291" s="225"/>
      <c r="C5291" s="36"/>
      <c r="D5291" s="36"/>
      <c r="E5291" s="37"/>
      <c r="F5291" s="31" t="s">
        <v>560</v>
      </c>
      <c r="G5291" s="31" t="str">
        <f t="shared" si="93"/>
        <v/>
      </c>
      <c r="H5291" s="35"/>
      <c r="I5291" s="31"/>
      <c r="J5291" s="155">
        <v>12</v>
      </c>
    </row>
    <row r="5292" spans="1:10" ht="15" thickBot="1" x14ac:dyDescent="0.35">
      <c r="A5292" s="226" t="s">
        <v>2172</v>
      </c>
      <c r="B5292" s="223" t="str">
        <f>INDEX(Orçamentária!A:B,MATCH(Composições!A5292,Orçamentária!A:A,0),2)</f>
        <v>Cabo de cobre nu 50 mm²</v>
      </c>
      <c r="C5292" s="41"/>
      <c r="D5292" s="26" t="str">
        <f>TRIM(INDEX(Orçamentária!C:C,MATCH(Composições!A5292,Orçamentária!A:A,0),1))</f>
        <v>m</v>
      </c>
      <c r="E5292" s="27"/>
      <c r="F5292" s="42" t="s">
        <v>560</v>
      </c>
      <c r="G5292" s="28" t="str">
        <f t="shared" si="93"/>
        <v/>
      </c>
      <c r="H5292" s="29"/>
      <c r="I5292" s="30"/>
      <c r="J5292" s="155">
        <v>750</v>
      </c>
    </row>
    <row r="5293" spans="1:10" x14ac:dyDescent="0.3">
      <c r="A5293" s="229"/>
      <c r="B5293" s="224"/>
      <c r="C5293" s="32"/>
      <c r="D5293" s="32"/>
      <c r="E5293" s="33"/>
      <c r="F5293" s="43" t="s">
        <v>560</v>
      </c>
      <c r="G5293" s="31" t="str">
        <f t="shared" si="93"/>
        <v/>
      </c>
      <c r="H5293" s="35"/>
      <c r="I5293" s="31"/>
      <c r="J5293" s="155">
        <v>750</v>
      </c>
    </row>
    <row r="5294" spans="1:10" x14ac:dyDescent="0.3">
      <c r="A5294" s="229"/>
      <c r="B5294" s="224"/>
      <c r="C5294" s="36" t="s">
        <v>1715</v>
      </c>
      <c r="D5294" s="36" t="s">
        <v>515</v>
      </c>
      <c r="E5294" s="37">
        <v>1.1000000000000001</v>
      </c>
      <c r="F5294" s="34">
        <v>31.823999999999998</v>
      </c>
      <c r="G5294" s="31">
        <f t="shared" si="93"/>
        <v>35.006399999999999</v>
      </c>
      <c r="H5294" s="39">
        <f>SUM(G5294:G5296)</f>
        <v>36.233551800000001</v>
      </c>
      <c r="I5294" s="40"/>
      <c r="J5294" s="155">
        <v>750</v>
      </c>
    </row>
    <row r="5295" spans="1:10" x14ac:dyDescent="0.3">
      <c r="A5295" s="229"/>
      <c r="B5295" s="224"/>
      <c r="C5295" s="36" t="s">
        <v>1214</v>
      </c>
      <c r="D5295" s="36" t="s">
        <v>744</v>
      </c>
      <c r="E5295" s="37">
        <v>3.3700000000000001E-2</v>
      </c>
      <c r="F5295" s="34">
        <v>15.928999999999998</v>
      </c>
      <c r="G5295" s="31">
        <f t="shared" si="93"/>
        <v>0.53680729999999999</v>
      </c>
      <c r="H5295" s="45"/>
      <c r="I5295" s="46"/>
      <c r="J5295" s="155">
        <v>750</v>
      </c>
    </row>
    <row r="5296" spans="1:10" x14ac:dyDescent="0.3">
      <c r="A5296" s="229"/>
      <c r="B5296" s="224"/>
      <c r="C5296" s="36" t="s">
        <v>1215</v>
      </c>
      <c r="D5296" s="36" t="s">
        <v>744</v>
      </c>
      <c r="E5296" s="37">
        <v>3.3700000000000001E-2</v>
      </c>
      <c r="F5296" s="31">
        <v>20.484999999999999</v>
      </c>
      <c r="G5296" s="31">
        <f t="shared" si="93"/>
        <v>0.69034450000000003</v>
      </c>
      <c r="H5296" s="35"/>
      <c r="I5296" s="31"/>
      <c r="J5296" s="155">
        <v>750</v>
      </c>
    </row>
    <row r="5297" spans="1:10" ht="15" thickBot="1" x14ac:dyDescent="0.35">
      <c r="A5297" s="230"/>
      <c r="B5297" s="225"/>
      <c r="C5297" s="36"/>
      <c r="D5297" s="36"/>
      <c r="E5297" s="37"/>
      <c r="F5297" s="31" t="s">
        <v>560</v>
      </c>
      <c r="G5297" s="31" t="str">
        <f t="shared" si="93"/>
        <v/>
      </c>
      <c r="H5297" s="35"/>
      <c r="I5297" s="31"/>
      <c r="J5297" s="155">
        <v>750</v>
      </c>
    </row>
    <row r="5298" spans="1:10" ht="15" thickBot="1" x14ac:dyDescent="0.35">
      <c r="A5298" s="226" t="s">
        <v>2174</v>
      </c>
      <c r="B5298" s="223" t="str">
        <f>INDEX(Orçamentária!A:B,MATCH(Composições!A5298,Orçamentária!A:A,0),2)</f>
        <v>Haste de aterramento 3/4” x 3 m</v>
      </c>
      <c r="C5298" s="41"/>
      <c r="D5298" s="26" t="str">
        <f>TRIM(INDEX(Orçamentária!C:C,MATCH(Composições!A5298,Orçamentária!A:A,0),1))</f>
        <v>un</v>
      </c>
      <c r="E5298" s="27"/>
      <c r="F5298" s="42" t="s">
        <v>560</v>
      </c>
      <c r="G5298" s="28" t="str">
        <f t="shared" si="93"/>
        <v/>
      </c>
      <c r="H5298" s="29"/>
      <c r="I5298" s="30"/>
      <c r="J5298" s="155">
        <v>30</v>
      </c>
    </row>
    <row r="5299" spans="1:10" x14ac:dyDescent="0.3">
      <c r="A5299" s="229"/>
      <c r="B5299" s="224"/>
      <c r="C5299" s="32"/>
      <c r="D5299" s="32"/>
      <c r="E5299" s="33"/>
      <c r="F5299" s="43" t="s">
        <v>560</v>
      </c>
      <c r="G5299" s="31" t="str">
        <f t="shared" si="93"/>
        <v/>
      </c>
      <c r="H5299" s="35"/>
      <c r="I5299" s="31"/>
      <c r="J5299" s="155">
        <v>30</v>
      </c>
    </row>
    <row r="5300" spans="1:10" x14ac:dyDescent="0.3">
      <c r="A5300" s="229"/>
      <c r="B5300" s="224"/>
      <c r="C5300" s="36" t="s">
        <v>2409</v>
      </c>
      <c r="D5300" s="36" t="s">
        <v>20</v>
      </c>
      <c r="E5300" s="37">
        <v>1</v>
      </c>
      <c r="F5300" s="34">
        <v>218.89</v>
      </c>
      <c r="G5300" s="31">
        <f t="shared" si="93"/>
        <v>218.89</v>
      </c>
      <c r="H5300" s="39">
        <f>SUM(G5300:G5302)</f>
        <v>233.29173699999998</v>
      </c>
      <c r="I5300" s="40"/>
      <c r="J5300" s="155">
        <v>30</v>
      </c>
    </row>
    <row r="5301" spans="1:10" x14ac:dyDescent="0.3">
      <c r="A5301" s="229"/>
      <c r="B5301" s="224"/>
      <c r="C5301" s="36" t="s">
        <v>1214</v>
      </c>
      <c r="D5301" s="36" t="s">
        <v>744</v>
      </c>
      <c r="E5301" s="37">
        <v>0.39550000000000002</v>
      </c>
      <c r="F5301" s="34">
        <v>15.928999999999998</v>
      </c>
      <c r="G5301" s="31">
        <f t="shared" si="93"/>
        <v>6.2999194999999997</v>
      </c>
      <c r="H5301" s="45"/>
      <c r="I5301" s="46"/>
      <c r="J5301" s="155">
        <v>30</v>
      </c>
    </row>
    <row r="5302" spans="1:10" x14ac:dyDescent="0.3">
      <c r="A5302" s="229"/>
      <c r="B5302" s="224"/>
      <c r="C5302" s="36" t="s">
        <v>1215</v>
      </c>
      <c r="D5302" s="36" t="s">
        <v>744</v>
      </c>
      <c r="E5302" s="37">
        <v>0.39550000000000002</v>
      </c>
      <c r="F5302" s="31">
        <v>20.484999999999999</v>
      </c>
      <c r="G5302" s="31">
        <f t="shared" si="93"/>
        <v>8.101817500000001</v>
      </c>
      <c r="H5302" s="35"/>
      <c r="I5302" s="31"/>
      <c r="J5302" s="155">
        <v>30</v>
      </c>
    </row>
    <row r="5303" spans="1:10" ht="15" thickBot="1" x14ac:dyDescent="0.35">
      <c r="A5303" s="230"/>
      <c r="B5303" s="225"/>
      <c r="C5303" s="36"/>
      <c r="D5303" s="36"/>
      <c r="E5303" s="37"/>
      <c r="F5303" s="31" t="s">
        <v>560</v>
      </c>
      <c r="G5303" s="31" t="str">
        <f t="shared" si="93"/>
        <v/>
      </c>
      <c r="H5303" s="35"/>
      <c r="I5303" s="31"/>
      <c r="J5303" s="155">
        <v>30</v>
      </c>
    </row>
    <row r="5304" spans="1:10" ht="15" thickBot="1" x14ac:dyDescent="0.35">
      <c r="A5304" s="226" t="s">
        <v>2175</v>
      </c>
      <c r="B5304" s="223" t="str">
        <f>INDEX(Orçamentária!A:B,MATCH(Composições!A5304,Orçamentária!A:A,0),2)</f>
        <v>Leito 800x100 mm</v>
      </c>
      <c r="C5304" s="41"/>
      <c r="D5304" s="26" t="str">
        <f>TRIM(INDEX(Orçamentária!C:C,MATCH(Composições!A5304,Orçamentária!A:A,0),1))</f>
        <v>m</v>
      </c>
      <c r="E5304" s="27"/>
      <c r="F5304" s="42" t="s">
        <v>560</v>
      </c>
      <c r="G5304" s="28" t="str">
        <f t="shared" si="93"/>
        <v/>
      </c>
      <c r="H5304" s="29"/>
      <c r="I5304" s="30"/>
      <c r="J5304" s="155">
        <v>85</v>
      </c>
    </row>
    <row r="5305" spans="1:10" x14ac:dyDescent="0.3">
      <c r="A5305" s="229"/>
      <c r="B5305" s="224"/>
      <c r="C5305" s="32"/>
      <c r="D5305" s="32"/>
      <c r="E5305" s="33"/>
      <c r="F5305" s="43" t="s">
        <v>560</v>
      </c>
      <c r="G5305" s="31" t="str">
        <f t="shared" si="93"/>
        <v/>
      </c>
      <c r="H5305" s="35"/>
      <c r="I5305" s="31"/>
      <c r="J5305" s="155">
        <v>85</v>
      </c>
    </row>
    <row r="5306" spans="1:10" x14ac:dyDescent="0.3">
      <c r="A5306" s="229"/>
      <c r="B5306" s="224"/>
      <c r="C5306" s="36" t="s">
        <v>30</v>
      </c>
      <c r="D5306" s="36" t="s">
        <v>12</v>
      </c>
      <c r="E5306" s="37">
        <v>0.75</v>
      </c>
      <c r="F5306" s="31">
        <v>20.484999999999999</v>
      </c>
      <c r="G5306" s="34">
        <f t="shared" si="93"/>
        <v>15.36375</v>
      </c>
      <c r="H5306" s="39">
        <f>SUM(G5306:G5308)</f>
        <v>255.96900000000002</v>
      </c>
      <c r="I5306" s="40"/>
      <c r="J5306" s="155">
        <v>85</v>
      </c>
    </row>
    <row r="5307" spans="1:10" x14ac:dyDescent="0.3">
      <c r="A5307" s="229"/>
      <c r="B5307" s="224"/>
      <c r="C5307" s="36" t="s">
        <v>74</v>
      </c>
      <c r="D5307" s="36" t="s">
        <v>12</v>
      </c>
      <c r="E5307" s="37">
        <v>0.75</v>
      </c>
      <c r="F5307" s="31">
        <v>15.928999999999998</v>
      </c>
      <c r="G5307" s="34">
        <f t="shared" si="93"/>
        <v>11.946749999999998</v>
      </c>
      <c r="H5307" s="35"/>
      <c r="I5307" s="31"/>
      <c r="J5307" s="155">
        <v>85</v>
      </c>
    </row>
    <row r="5308" spans="1:10" ht="26.4" x14ac:dyDescent="0.3">
      <c r="A5308" s="229"/>
      <c r="B5308" s="224"/>
      <c r="C5308" s="36" t="s">
        <v>2410</v>
      </c>
      <c r="D5308" s="36" t="s">
        <v>93</v>
      </c>
      <c r="E5308" s="37">
        <v>1.05</v>
      </c>
      <c r="F5308" s="31">
        <v>217.77</v>
      </c>
      <c r="G5308" s="34">
        <f t="shared" si="93"/>
        <v>228.65850000000003</v>
      </c>
      <c r="H5308" s="35"/>
      <c r="I5308" s="31"/>
      <c r="J5308" s="155">
        <v>85</v>
      </c>
    </row>
    <row r="5309" spans="1:10" ht="15" thickBot="1" x14ac:dyDescent="0.35">
      <c r="A5309" s="230"/>
      <c r="B5309" s="225"/>
      <c r="C5309" s="36"/>
      <c r="D5309" s="36"/>
      <c r="E5309" s="37"/>
      <c r="F5309" s="31" t="s">
        <v>560</v>
      </c>
      <c r="G5309" s="31" t="str">
        <f t="shared" si="93"/>
        <v/>
      </c>
      <c r="H5309" s="35"/>
      <c r="I5309" s="31"/>
      <c r="J5309" s="155">
        <v>85</v>
      </c>
    </row>
    <row r="5310" spans="1:10" ht="15" thickBot="1" x14ac:dyDescent="0.35">
      <c r="A5310" s="226" t="s">
        <v>2176</v>
      </c>
      <c r="B5310" s="223" t="str">
        <f>INDEX(Orçamentária!A:B,MATCH(Composições!A5310,Orçamentária!A:A,0),2)</f>
        <v>Engenheiro(a) eletricista pleno</v>
      </c>
      <c r="C5310" s="41"/>
      <c r="D5310" s="26" t="str">
        <f>TRIM(INDEX(Orçamentária!C:C,MATCH(Composições!A5310,Orçamentária!A:A,0),1))</f>
        <v>hh</v>
      </c>
      <c r="E5310" s="27"/>
      <c r="F5310" s="42" t="s">
        <v>560</v>
      </c>
      <c r="G5310" s="28" t="str">
        <f t="shared" si="93"/>
        <v/>
      </c>
      <c r="H5310" s="29"/>
      <c r="I5310" s="30"/>
      <c r="J5310" s="155">
        <v>800</v>
      </c>
    </row>
    <row r="5311" spans="1:10" x14ac:dyDescent="0.3">
      <c r="A5311" s="229"/>
      <c r="B5311" s="224"/>
      <c r="C5311" s="32"/>
      <c r="D5311" s="32"/>
      <c r="E5311" s="33"/>
      <c r="F5311" s="43" t="s">
        <v>560</v>
      </c>
      <c r="G5311" s="31" t="str">
        <f t="shared" si="93"/>
        <v/>
      </c>
      <c r="H5311" s="35"/>
      <c r="I5311" s="31"/>
      <c r="J5311" s="155">
        <v>800</v>
      </c>
    </row>
    <row r="5312" spans="1:10" x14ac:dyDescent="0.3">
      <c r="A5312" s="229"/>
      <c r="B5312" s="224"/>
      <c r="C5312" s="36" t="s">
        <v>2411</v>
      </c>
      <c r="D5312" s="36" t="s">
        <v>12</v>
      </c>
      <c r="E5312" s="37">
        <v>1</v>
      </c>
      <c r="F5312" s="31">
        <v>93.763499999999993</v>
      </c>
      <c r="G5312" s="34">
        <f t="shared" si="93"/>
        <v>93.763499999999993</v>
      </c>
      <c r="H5312" s="39">
        <f>SUM(G5312:G5312)</f>
        <v>93.763499999999993</v>
      </c>
      <c r="I5312" s="40"/>
      <c r="J5312" s="155">
        <v>800</v>
      </c>
    </row>
    <row r="5313" spans="1:10" ht="15" thickBot="1" x14ac:dyDescent="0.35">
      <c r="A5313" s="230"/>
      <c r="B5313" s="225"/>
      <c r="C5313" s="36"/>
      <c r="D5313" s="36"/>
      <c r="E5313" s="37"/>
      <c r="F5313" s="31" t="s">
        <v>560</v>
      </c>
      <c r="G5313" s="31" t="str">
        <f t="shared" si="93"/>
        <v/>
      </c>
      <c r="H5313" s="35"/>
      <c r="I5313" s="31"/>
      <c r="J5313" s="155">
        <v>800</v>
      </c>
    </row>
    <row r="5314" spans="1:10" ht="15" thickBot="1" x14ac:dyDescent="0.35">
      <c r="A5314" s="226" t="s">
        <v>2178</v>
      </c>
      <c r="B5314" s="223" t="str">
        <f>INDEX(Orçamentária!A:B,MATCH(Composições!A5314,Orçamentária!A:A,0),2)</f>
        <v>Mão francesa metálica dupla</v>
      </c>
      <c r="C5314" s="41"/>
      <c r="D5314" s="26" t="str">
        <f>TRIM(INDEX(Orçamentária!C:C,MATCH(Composições!A5314,Orçamentária!A:A,0),1))</f>
        <v>un</v>
      </c>
      <c r="E5314" s="27"/>
      <c r="F5314" s="42" t="s">
        <v>560</v>
      </c>
      <c r="G5314" s="28" t="str">
        <f t="shared" si="93"/>
        <v/>
      </c>
      <c r="H5314" s="29"/>
      <c r="I5314" s="30"/>
      <c r="J5314" s="155">
        <v>230</v>
      </c>
    </row>
    <row r="5315" spans="1:10" x14ac:dyDescent="0.3">
      <c r="A5315" s="229"/>
      <c r="B5315" s="224"/>
      <c r="C5315" s="32"/>
      <c r="D5315" s="32"/>
      <c r="E5315" s="33"/>
      <c r="F5315" s="43" t="s">
        <v>560</v>
      </c>
      <c r="G5315" s="31" t="str">
        <f t="shared" si="93"/>
        <v/>
      </c>
      <c r="H5315" s="35"/>
      <c r="I5315" s="31"/>
      <c r="J5315" s="155">
        <v>230</v>
      </c>
    </row>
    <row r="5316" spans="1:10" ht="39.6" x14ac:dyDescent="0.3">
      <c r="A5316" s="229"/>
      <c r="B5316" s="224"/>
      <c r="C5316" s="36" t="s">
        <v>1181</v>
      </c>
      <c r="D5316" s="36" t="s">
        <v>292</v>
      </c>
      <c r="E5316" s="37">
        <v>3</v>
      </c>
      <c r="F5316" s="31">
        <v>0.83299999999999996</v>
      </c>
      <c r="G5316" s="34">
        <f t="shared" si="93"/>
        <v>2.4989999999999997</v>
      </c>
      <c r="H5316" s="39">
        <f>SUM(G5316:G5319)</f>
        <v>104.63482810000001</v>
      </c>
      <c r="I5316" s="40"/>
      <c r="J5316" s="155">
        <v>230</v>
      </c>
    </row>
    <row r="5317" spans="1:10" x14ac:dyDescent="0.3">
      <c r="A5317" s="229"/>
      <c r="B5317" s="224"/>
      <c r="C5317" s="36" t="s">
        <v>2421</v>
      </c>
      <c r="D5317" s="36" t="s">
        <v>292</v>
      </c>
      <c r="E5317" s="37">
        <v>1</v>
      </c>
      <c r="F5317" s="31">
        <v>90.04</v>
      </c>
      <c r="G5317" s="34">
        <f t="shared" si="93"/>
        <v>90.04</v>
      </c>
      <c r="H5317" s="35"/>
      <c r="I5317" s="31"/>
      <c r="J5317" s="155">
        <v>230</v>
      </c>
    </row>
    <row r="5318" spans="1:10" x14ac:dyDescent="0.3">
      <c r="A5318" s="229"/>
      <c r="B5318" s="224"/>
      <c r="C5318" s="36" t="s">
        <v>30</v>
      </c>
      <c r="D5318" s="36" t="s">
        <v>744</v>
      </c>
      <c r="E5318" s="37">
        <v>0.4743</v>
      </c>
      <c r="F5318" s="31">
        <v>20.484999999999999</v>
      </c>
      <c r="G5318" s="34">
        <f t="shared" si="93"/>
        <v>9.7160355000000003</v>
      </c>
      <c r="H5318" s="35"/>
      <c r="I5318" s="31"/>
      <c r="J5318" s="155">
        <v>230</v>
      </c>
    </row>
    <row r="5319" spans="1:10" x14ac:dyDescent="0.3">
      <c r="A5319" s="229"/>
      <c r="B5319" s="224"/>
      <c r="C5319" s="36" t="s">
        <v>74</v>
      </c>
      <c r="D5319" s="36" t="s">
        <v>744</v>
      </c>
      <c r="E5319" s="37">
        <v>0.14940000000000001</v>
      </c>
      <c r="F5319" s="31">
        <v>15.928999999999998</v>
      </c>
      <c r="G5319" s="34">
        <f t="shared" si="93"/>
        <v>2.3797926</v>
      </c>
      <c r="H5319" s="35"/>
      <c r="I5319" s="31"/>
      <c r="J5319" s="155">
        <v>230</v>
      </c>
    </row>
    <row r="5320" spans="1:10" ht="15" thickBot="1" x14ac:dyDescent="0.35">
      <c r="A5320" s="230"/>
      <c r="B5320" s="225"/>
      <c r="C5320" s="36"/>
      <c r="D5320" s="36"/>
      <c r="E5320" s="37"/>
      <c r="F5320" s="31" t="s">
        <v>560</v>
      </c>
      <c r="G5320" s="31" t="str">
        <f t="shared" si="93"/>
        <v/>
      </c>
      <c r="H5320" s="35"/>
      <c r="I5320" s="31"/>
      <c r="J5320" s="155">
        <v>230</v>
      </c>
    </row>
    <row r="5321" spans="1:10" ht="15" thickBot="1" x14ac:dyDescent="0.35">
      <c r="A5321" s="226" t="s">
        <v>2179</v>
      </c>
      <c r="B5321" s="223" t="str">
        <f>INDEX(Orçamentária!A:B,MATCH(Composições!A5321,Orçamentária!A:A,0),2)</f>
        <v>Óleo diesel</v>
      </c>
      <c r="C5321" s="41"/>
      <c r="D5321" s="26" t="str">
        <f>TRIM(INDEX(Orçamentária!C:C,MATCH(Composições!A5321,Orçamentária!A:A,0),1))</f>
        <v>L</v>
      </c>
      <c r="E5321" s="27"/>
      <c r="F5321" s="42" t="s">
        <v>560</v>
      </c>
      <c r="G5321" s="28" t="str">
        <f t="shared" si="93"/>
        <v/>
      </c>
      <c r="H5321" s="29"/>
      <c r="I5321" s="30"/>
      <c r="J5321" s="155">
        <v>85000</v>
      </c>
    </row>
    <row r="5322" spans="1:10" x14ac:dyDescent="0.3">
      <c r="A5322" s="229"/>
      <c r="B5322" s="224"/>
      <c r="C5322" s="32"/>
      <c r="D5322" s="32"/>
      <c r="E5322" s="33"/>
      <c r="F5322" s="43" t="s">
        <v>560</v>
      </c>
      <c r="G5322" s="31" t="str">
        <f t="shared" si="93"/>
        <v/>
      </c>
      <c r="H5322" s="35"/>
      <c r="I5322" s="31"/>
      <c r="J5322" s="155">
        <v>85000</v>
      </c>
    </row>
    <row r="5323" spans="1:10" x14ac:dyDescent="0.3">
      <c r="A5323" s="229"/>
      <c r="B5323" s="224"/>
      <c r="C5323" s="36" t="s">
        <v>2412</v>
      </c>
      <c r="D5323" s="36" t="s">
        <v>103</v>
      </c>
      <c r="E5323" s="37">
        <v>1</v>
      </c>
      <c r="F5323" s="31">
        <v>4.5999999999999996</v>
      </c>
      <c r="G5323" s="34">
        <f t="shared" si="93"/>
        <v>4.5999999999999996</v>
      </c>
      <c r="H5323" s="39">
        <f>SUM(G5323:G5323)</f>
        <v>4.5999999999999996</v>
      </c>
      <c r="I5323" s="40"/>
      <c r="J5323" s="155">
        <v>85000</v>
      </c>
    </row>
    <row r="5324" spans="1:10" ht="15" thickBot="1" x14ac:dyDescent="0.35">
      <c r="A5324" s="230"/>
      <c r="B5324" s="225"/>
      <c r="C5324" s="36"/>
      <c r="D5324" s="36"/>
      <c r="E5324" s="37"/>
      <c r="F5324" s="31" t="s">
        <v>560</v>
      </c>
      <c r="G5324" s="31" t="str">
        <f t="shared" si="93"/>
        <v/>
      </c>
      <c r="H5324" s="35"/>
      <c r="I5324" s="31"/>
      <c r="J5324" s="155">
        <v>85000</v>
      </c>
    </row>
    <row r="5325" spans="1:10" ht="15" hidden="1" thickBot="1" x14ac:dyDescent="0.35">
      <c r="A5325" s="220" t="s">
        <v>2187</v>
      </c>
      <c r="B5325" s="223" t="e">
        <f>INDEX(#REF!,MATCH(Composições!A5325,#REF!,0),2)</f>
        <v>#REF!</v>
      </c>
      <c r="C5325" s="41"/>
      <c r="D5325" s="26" t="e">
        <f>TRIM(INDEX(#REF!,MATCH(Composições!A5325,#REF!,0),1))</f>
        <v>#REF!</v>
      </c>
      <c r="E5325" s="27"/>
      <c r="F5325" s="49" t="s">
        <v>560</v>
      </c>
      <c r="G5325" s="28" t="str">
        <f t="shared" si="93"/>
        <v/>
      </c>
      <c r="H5325" s="29"/>
      <c r="I5325" s="30"/>
      <c r="J5325" s="155">
        <v>0</v>
      </c>
    </row>
    <row r="5326" spans="1:10" ht="15" hidden="1" thickBot="1" x14ac:dyDescent="0.35">
      <c r="A5326" s="221"/>
      <c r="B5326" s="224"/>
      <c r="C5326" s="170"/>
      <c r="D5326" s="170"/>
      <c r="E5326" s="171"/>
      <c r="F5326" s="54" t="s">
        <v>560</v>
      </c>
      <c r="G5326" s="54" t="str">
        <f t="shared" si="93"/>
        <v/>
      </c>
      <c r="H5326" s="73"/>
      <c r="I5326" s="74"/>
      <c r="J5326" s="155">
        <v>0</v>
      </c>
    </row>
    <row r="5327" spans="1:10" ht="15" hidden="1" thickBot="1" x14ac:dyDescent="0.35">
      <c r="A5327" s="221"/>
      <c r="B5327" s="224"/>
      <c r="C5327" s="36" t="s">
        <v>1702</v>
      </c>
      <c r="D5327" s="163" t="s">
        <v>12</v>
      </c>
      <c r="E5327" s="164">
        <f>ROUND(220/(1+113.69%),4)</f>
        <v>102.9529</v>
      </c>
      <c r="F5327" s="31">
        <v>93.763499999999993</v>
      </c>
      <c r="G5327" s="54">
        <f t="shared" si="93"/>
        <v>9653.2242391499985</v>
      </c>
      <c r="H5327" s="39">
        <f>SUM(G5327:G5327)</f>
        <v>9653.2242391499985</v>
      </c>
      <c r="I5327" s="40"/>
      <c r="J5327" s="155">
        <v>0</v>
      </c>
    </row>
    <row r="5328" spans="1:10" ht="15" hidden="1" thickBot="1" x14ac:dyDescent="0.35">
      <c r="A5328" s="221"/>
      <c r="B5328" s="224"/>
      <c r="C5328" s="170"/>
      <c r="D5328" s="170"/>
      <c r="E5328" s="171"/>
      <c r="F5328" s="54" t="s">
        <v>560</v>
      </c>
      <c r="G5328" s="54" t="str">
        <f t="shared" si="93"/>
        <v/>
      </c>
      <c r="H5328" s="73"/>
      <c r="I5328" s="74"/>
      <c r="J5328" s="155">
        <v>0</v>
      </c>
    </row>
    <row r="5329" spans="1:10" ht="27" hidden="1" thickBot="1" x14ac:dyDescent="0.35">
      <c r="A5329" s="221"/>
      <c r="B5329" s="224"/>
      <c r="C5329" s="48" t="s">
        <v>822</v>
      </c>
      <c r="D5329" s="170"/>
      <c r="E5329" s="171"/>
      <c r="F5329" s="54" t="s">
        <v>560</v>
      </c>
      <c r="G5329" s="54" t="str">
        <f t="shared" si="93"/>
        <v/>
      </c>
      <c r="H5329" s="73"/>
      <c r="I5329" s="74"/>
      <c r="J5329" s="155">
        <v>0</v>
      </c>
    </row>
    <row r="5330" spans="1:10" ht="15" hidden="1" thickBot="1" x14ac:dyDescent="0.35">
      <c r="A5330" s="222"/>
      <c r="B5330" s="225"/>
      <c r="C5330" s="55"/>
      <c r="D5330" s="166"/>
      <c r="E5330" s="66"/>
      <c r="F5330" s="76" t="s">
        <v>560</v>
      </c>
      <c r="G5330" s="76" t="str">
        <f t="shared" si="93"/>
        <v/>
      </c>
      <c r="H5330" s="77"/>
      <c r="I5330" s="74"/>
      <c r="J5330" s="155">
        <v>0</v>
      </c>
    </row>
    <row r="5331" spans="1:10" ht="15" hidden="1" thickBot="1" x14ac:dyDescent="0.35">
      <c r="A5331" s="220" t="s">
        <v>2188</v>
      </c>
      <c r="B5331" s="223" t="e">
        <f>INDEX(#REF!,MATCH(Composições!A5331,#REF!,0),2)</f>
        <v>#REF!</v>
      </c>
      <c r="C5331" s="41"/>
      <c r="D5331" s="26" t="e">
        <f>TRIM(INDEX(#REF!,MATCH(Composições!A5331,#REF!,0),1))</f>
        <v>#REF!</v>
      </c>
      <c r="E5331" s="27"/>
      <c r="F5331" s="49" t="s">
        <v>560</v>
      </c>
      <c r="G5331" s="28" t="str">
        <f t="shared" si="93"/>
        <v/>
      </c>
      <c r="H5331" s="29"/>
      <c r="I5331" s="30"/>
      <c r="J5331" s="155">
        <v>0</v>
      </c>
    </row>
    <row r="5332" spans="1:10" ht="15" hidden="1" thickBot="1" x14ac:dyDescent="0.35">
      <c r="A5332" s="221"/>
      <c r="B5332" s="224"/>
      <c r="C5332" s="170"/>
      <c r="D5332" s="170"/>
      <c r="E5332" s="171"/>
      <c r="F5332" s="54" t="s">
        <v>560</v>
      </c>
      <c r="G5332" s="54" t="str">
        <f t="shared" si="93"/>
        <v/>
      </c>
      <c r="H5332" s="73"/>
      <c r="I5332" s="74"/>
      <c r="J5332" s="155">
        <v>0</v>
      </c>
    </row>
    <row r="5333" spans="1:10" ht="15" hidden="1" thickBot="1" x14ac:dyDescent="0.35">
      <c r="A5333" s="221"/>
      <c r="B5333" s="224"/>
      <c r="C5333" s="36" t="s">
        <v>1702</v>
      </c>
      <c r="D5333" s="163" t="s">
        <v>12</v>
      </c>
      <c r="E5333" s="164">
        <f>ROUND(220/(1+113.69%),4)</f>
        <v>102.9529</v>
      </c>
      <c r="F5333" s="31">
        <v>93.763499999999993</v>
      </c>
      <c r="G5333" s="54">
        <f t="shared" si="93"/>
        <v>9653.2242391499985</v>
      </c>
      <c r="H5333" s="39">
        <f>SUM(G5333:G5333)</f>
        <v>9653.2242391499985</v>
      </c>
      <c r="I5333" s="40"/>
      <c r="J5333" s="155">
        <v>0</v>
      </c>
    </row>
    <row r="5334" spans="1:10" ht="15" hidden="1" thickBot="1" x14ac:dyDescent="0.35">
      <c r="A5334" s="221"/>
      <c r="B5334" s="224"/>
      <c r="C5334" s="170"/>
      <c r="D5334" s="170"/>
      <c r="E5334" s="171"/>
      <c r="F5334" s="54" t="s">
        <v>560</v>
      </c>
      <c r="G5334" s="54" t="str">
        <f t="shared" si="93"/>
        <v/>
      </c>
      <c r="H5334" s="73"/>
      <c r="I5334" s="74"/>
      <c r="J5334" s="155">
        <v>0</v>
      </c>
    </row>
    <row r="5335" spans="1:10" ht="27" hidden="1" thickBot="1" x14ac:dyDescent="0.35">
      <c r="A5335" s="221"/>
      <c r="B5335" s="224"/>
      <c r="C5335" s="48" t="s">
        <v>822</v>
      </c>
      <c r="D5335" s="170"/>
      <c r="E5335" s="171"/>
      <c r="F5335" s="54" t="s">
        <v>560</v>
      </c>
      <c r="G5335" s="54" t="str">
        <f t="shared" si="93"/>
        <v/>
      </c>
      <c r="H5335" s="73"/>
      <c r="I5335" s="74"/>
      <c r="J5335" s="155">
        <v>0</v>
      </c>
    </row>
    <row r="5336" spans="1:10" ht="15" hidden="1" thickBot="1" x14ac:dyDescent="0.35">
      <c r="A5336" s="222"/>
      <c r="B5336" s="225"/>
      <c r="C5336" s="55"/>
      <c r="D5336" s="166"/>
      <c r="E5336" s="66"/>
      <c r="F5336" s="76" t="s">
        <v>560</v>
      </c>
      <c r="G5336" s="76" t="str">
        <f t="shared" si="93"/>
        <v/>
      </c>
      <c r="H5336" s="77"/>
      <c r="I5336" s="74"/>
      <c r="J5336" s="155">
        <v>0</v>
      </c>
    </row>
    <row r="5337" spans="1:10" ht="15" hidden="1" thickBot="1" x14ac:dyDescent="0.35">
      <c r="A5337" s="220" t="s">
        <v>2189</v>
      </c>
      <c r="B5337" s="223" t="e">
        <f>INDEX(#REF!,MATCH(Composições!A5337,#REF!,0),2)</f>
        <v>#REF!</v>
      </c>
      <c r="C5337" s="41"/>
      <c r="D5337" s="26" t="e">
        <f>TRIM(INDEX(#REF!,MATCH(Composições!A5337,#REF!,0),1))</f>
        <v>#REF!</v>
      </c>
      <c r="E5337" s="27"/>
      <c r="F5337" s="49" t="s">
        <v>560</v>
      </c>
      <c r="G5337" s="28" t="str">
        <f t="shared" si="93"/>
        <v/>
      </c>
      <c r="H5337" s="29"/>
      <c r="I5337" s="30"/>
      <c r="J5337" s="155">
        <v>0</v>
      </c>
    </row>
    <row r="5338" spans="1:10" ht="15" hidden="1" thickBot="1" x14ac:dyDescent="0.35">
      <c r="A5338" s="221"/>
      <c r="B5338" s="224"/>
      <c r="C5338" s="170"/>
      <c r="D5338" s="170"/>
      <c r="E5338" s="171"/>
      <c r="F5338" s="54" t="s">
        <v>560</v>
      </c>
      <c r="G5338" s="54" t="str">
        <f t="shared" si="93"/>
        <v/>
      </c>
      <c r="H5338" s="73"/>
      <c r="I5338" s="74"/>
      <c r="J5338" s="155">
        <v>0</v>
      </c>
    </row>
    <row r="5339" spans="1:10" ht="27" hidden="1" thickBot="1" x14ac:dyDescent="0.35">
      <c r="A5339" s="221"/>
      <c r="B5339" s="224"/>
      <c r="C5339" s="36" t="s">
        <v>1171</v>
      </c>
      <c r="D5339" s="163" t="s">
        <v>12</v>
      </c>
      <c r="E5339" s="164">
        <f>ROUND(220/(1+113.69%),4)</f>
        <v>102.9529</v>
      </c>
      <c r="F5339" s="31">
        <v>33.813000000000002</v>
      </c>
      <c r="G5339" s="54">
        <f t="shared" si="93"/>
        <v>3481.1464077000001</v>
      </c>
      <c r="H5339" s="39">
        <f>SUM(G5339:G5339)</f>
        <v>3481.1464077000001</v>
      </c>
      <c r="I5339" s="40"/>
      <c r="J5339" s="155">
        <v>0</v>
      </c>
    </row>
    <row r="5340" spans="1:10" ht="15" hidden="1" thickBot="1" x14ac:dyDescent="0.35">
      <c r="A5340" s="221"/>
      <c r="B5340" s="224"/>
      <c r="C5340" s="170"/>
      <c r="D5340" s="170"/>
      <c r="E5340" s="171"/>
      <c r="F5340" s="54" t="s">
        <v>560</v>
      </c>
      <c r="G5340" s="54" t="str">
        <f t="shared" si="93"/>
        <v/>
      </c>
      <c r="H5340" s="73"/>
      <c r="I5340" s="74"/>
      <c r="J5340" s="155">
        <v>0</v>
      </c>
    </row>
    <row r="5341" spans="1:10" ht="27" hidden="1" thickBot="1" x14ac:dyDescent="0.35">
      <c r="A5341" s="221"/>
      <c r="B5341" s="224"/>
      <c r="C5341" s="48" t="s">
        <v>822</v>
      </c>
      <c r="D5341" s="170"/>
      <c r="E5341" s="171"/>
      <c r="F5341" s="54" t="s">
        <v>560</v>
      </c>
      <c r="G5341" s="54" t="str">
        <f t="shared" ref="G5341:G5404" si="94">IF(ISNUMBER(F5341),E5341*F5341,"")</f>
        <v/>
      </c>
      <c r="H5341" s="73"/>
      <c r="I5341" s="74"/>
      <c r="J5341" s="155">
        <v>0</v>
      </c>
    </row>
    <row r="5342" spans="1:10" ht="15" hidden="1" thickBot="1" x14ac:dyDescent="0.35">
      <c r="A5342" s="222"/>
      <c r="B5342" s="225"/>
      <c r="C5342" s="55"/>
      <c r="D5342" s="166"/>
      <c r="E5342" s="66"/>
      <c r="F5342" s="76" t="s">
        <v>560</v>
      </c>
      <c r="G5342" s="76" t="str">
        <f t="shared" si="94"/>
        <v/>
      </c>
      <c r="H5342" s="77"/>
      <c r="I5342" s="74"/>
      <c r="J5342" s="155">
        <v>0</v>
      </c>
    </row>
    <row r="5343" spans="1:10" ht="15" hidden="1" thickBot="1" x14ac:dyDescent="0.35">
      <c r="A5343" s="220" t="s">
        <v>2190</v>
      </c>
      <c r="B5343" s="223" t="e">
        <f>INDEX(#REF!,MATCH(Composições!A5343,#REF!,0),2)</f>
        <v>#REF!</v>
      </c>
      <c r="C5343" s="41"/>
      <c r="D5343" s="26" t="e">
        <f>TRIM(INDEX(#REF!,MATCH(Composições!A5343,#REF!,0),1))</f>
        <v>#REF!</v>
      </c>
      <c r="E5343" s="27"/>
      <c r="F5343" s="49" t="s">
        <v>560</v>
      </c>
      <c r="G5343" s="28" t="str">
        <f t="shared" si="94"/>
        <v/>
      </c>
      <c r="H5343" s="29"/>
      <c r="I5343" s="30"/>
      <c r="J5343" s="155">
        <v>0</v>
      </c>
    </row>
    <row r="5344" spans="1:10" ht="15" hidden="1" thickBot="1" x14ac:dyDescent="0.35">
      <c r="A5344" s="221"/>
      <c r="B5344" s="224"/>
      <c r="C5344" s="170"/>
      <c r="D5344" s="170"/>
      <c r="E5344" s="171"/>
      <c r="F5344" s="54" t="s">
        <v>560</v>
      </c>
      <c r="G5344" s="54" t="str">
        <f t="shared" si="94"/>
        <v/>
      </c>
      <c r="H5344" s="73"/>
      <c r="I5344" s="74"/>
      <c r="J5344" s="155">
        <v>0</v>
      </c>
    </row>
    <row r="5345" spans="1:10" ht="15" hidden="1" thickBot="1" x14ac:dyDescent="0.35">
      <c r="A5345" s="221"/>
      <c r="B5345" s="224"/>
      <c r="C5345" s="36" t="s">
        <v>1703</v>
      </c>
      <c r="D5345" s="163" t="s">
        <v>12</v>
      </c>
      <c r="E5345" s="164">
        <f>ROUND(220/(1+113.69%),4)</f>
        <v>102.9529</v>
      </c>
      <c r="F5345" s="31">
        <v>18.105</v>
      </c>
      <c r="G5345" s="54">
        <f t="shared" si="94"/>
        <v>1863.9622545</v>
      </c>
      <c r="H5345" s="39">
        <f>SUM(G5345:G5345)</f>
        <v>1863.9622545</v>
      </c>
      <c r="I5345" s="40"/>
      <c r="J5345" s="155">
        <v>0</v>
      </c>
    </row>
    <row r="5346" spans="1:10" ht="15" hidden="1" thickBot="1" x14ac:dyDescent="0.35">
      <c r="A5346" s="221"/>
      <c r="B5346" s="224"/>
      <c r="C5346" s="170"/>
      <c r="D5346" s="170"/>
      <c r="E5346" s="171"/>
      <c r="F5346" s="54" t="s">
        <v>560</v>
      </c>
      <c r="G5346" s="54" t="str">
        <f t="shared" si="94"/>
        <v/>
      </c>
      <c r="H5346" s="73"/>
      <c r="I5346" s="74"/>
      <c r="J5346" s="155">
        <v>0</v>
      </c>
    </row>
    <row r="5347" spans="1:10" ht="27" hidden="1" thickBot="1" x14ac:dyDescent="0.35">
      <c r="A5347" s="221"/>
      <c r="B5347" s="224"/>
      <c r="C5347" s="48" t="s">
        <v>822</v>
      </c>
      <c r="D5347" s="170"/>
      <c r="E5347" s="171"/>
      <c r="F5347" s="54" t="s">
        <v>560</v>
      </c>
      <c r="G5347" s="54" t="str">
        <f t="shared" si="94"/>
        <v/>
      </c>
      <c r="H5347" s="73"/>
      <c r="I5347" s="74"/>
      <c r="J5347" s="155">
        <v>0</v>
      </c>
    </row>
    <row r="5348" spans="1:10" ht="15" hidden="1" thickBot="1" x14ac:dyDescent="0.35">
      <c r="A5348" s="222"/>
      <c r="B5348" s="225"/>
      <c r="C5348" s="55"/>
      <c r="D5348" s="166"/>
      <c r="E5348" s="66"/>
      <c r="F5348" s="76" t="s">
        <v>560</v>
      </c>
      <c r="G5348" s="76" t="str">
        <f t="shared" si="94"/>
        <v/>
      </c>
      <c r="H5348" s="77"/>
      <c r="I5348" s="74"/>
      <c r="J5348" s="155">
        <v>0</v>
      </c>
    </row>
    <row r="5349" spans="1:10" ht="15" hidden="1" thickBot="1" x14ac:dyDescent="0.35">
      <c r="A5349" s="220" t="s">
        <v>2191</v>
      </c>
      <c r="B5349" s="223" t="e">
        <f>INDEX(#REF!,MATCH(Composições!A5349,#REF!,0),2)</f>
        <v>#REF!</v>
      </c>
      <c r="C5349" s="41"/>
      <c r="D5349" s="26" t="e">
        <f>TRIM(INDEX(#REF!,MATCH(Composições!A5349,#REF!,0),1))</f>
        <v>#REF!</v>
      </c>
      <c r="E5349" s="27"/>
      <c r="F5349" s="49" t="s">
        <v>560</v>
      </c>
      <c r="G5349" s="28" t="str">
        <f t="shared" si="94"/>
        <v/>
      </c>
      <c r="H5349" s="29"/>
      <c r="I5349" s="30"/>
      <c r="J5349" s="155">
        <v>0</v>
      </c>
    </row>
    <row r="5350" spans="1:10" ht="15" hidden="1" thickBot="1" x14ac:dyDescent="0.35">
      <c r="A5350" s="221"/>
      <c r="B5350" s="224"/>
      <c r="C5350" s="170"/>
      <c r="D5350" s="170"/>
      <c r="E5350" s="171"/>
      <c r="F5350" s="54" t="s">
        <v>560</v>
      </c>
      <c r="G5350" s="54" t="str">
        <f t="shared" si="94"/>
        <v/>
      </c>
      <c r="H5350" s="73"/>
      <c r="I5350" s="74"/>
      <c r="J5350" s="155">
        <v>0</v>
      </c>
    </row>
    <row r="5351" spans="1:10" ht="15" hidden="1" thickBot="1" x14ac:dyDescent="0.35">
      <c r="A5351" s="221"/>
      <c r="B5351" s="224"/>
      <c r="C5351" s="36" t="s">
        <v>1699</v>
      </c>
      <c r="D5351" s="163" t="s">
        <v>12</v>
      </c>
      <c r="E5351" s="164">
        <f>ROUND(220/(1+113.69%),4)</f>
        <v>102.9529</v>
      </c>
      <c r="F5351" s="31">
        <v>19.686</v>
      </c>
      <c r="G5351" s="54">
        <f t="shared" si="94"/>
        <v>2026.7307894</v>
      </c>
      <c r="H5351" s="39">
        <f>SUM(G5351:G5351)</f>
        <v>2026.7307894</v>
      </c>
      <c r="I5351" s="40"/>
      <c r="J5351" s="155">
        <v>0</v>
      </c>
    </row>
    <row r="5352" spans="1:10" ht="15" hidden="1" thickBot="1" x14ac:dyDescent="0.35">
      <c r="A5352" s="221"/>
      <c r="B5352" s="224"/>
      <c r="C5352" s="170"/>
      <c r="D5352" s="170"/>
      <c r="E5352" s="171"/>
      <c r="F5352" s="54" t="s">
        <v>560</v>
      </c>
      <c r="G5352" s="54" t="str">
        <f t="shared" si="94"/>
        <v/>
      </c>
      <c r="H5352" s="73"/>
      <c r="I5352" s="74"/>
      <c r="J5352" s="155">
        <v>0</v>
      </c>
    </row>
    <row r="5353" spans="1:10" ht="27" hidden="1" thickBot="1" x14ac:dyDescent="0.35">
      <c r="A5353" s="221"/>
      <c r="B5353" s="224"/>
      <c r="C5353" s="48" t="s">
        <v>822</v>
      </c>
      <c r="D5353" s="170"/>
      <c r="E5353" s="171"/>
      <c r="F5353" s="54" t="s">
        <v>560</v>
      </c>
      <c r="G5353" s="54" t="str">
        <f t="shared" si="94"/>
        <v/>
      </c>
      <c r="H5353" s="73"/>
      <c r="I5353" s="74"/>
      <c r="J5353" s="155">
        <v>0</v>
      </c>
    </row>
    <row r="5354" spans="1:10" ht="15" hidden="1" thickBot="1" x14ac:dyDescent="0.35">
      <c r="A5354" s="222"/>
      <c r="B5354" s="225"/>
      <c r="C5354" s="55"/>
      <c r="D5354" s="166"/>
      <c r="E5354" s="66"/>
      <c r="F5354" s="76" t="s">
        <v>560</v>
      </c>
      <c r="G5354" s="76" t="str">
        <f t="shared" si="94"/>
        <v/>
      </c>
      <c r="H5354" s="77"/>
      <c r="I5354" s="74"/>
      <c r="J5354" s="155">
        <v>0</v>
      </c>
    </row>
    <row r="5355" spans="1:10" ht="15" hidden="1" thickBot="1" x14ac:dyDescent="0.35">
      <c r="A5355" s="220" t="s">
        <v>2192</v>
      </c>
      <c r="B5355" s="223" t="e">
        <f>INDEX(#REF!,MATCH(Composições!A5355,#REF!,0),2)</f>
        <v>#REF!</v>
      </c>
      <c r="C5355" s="41"/>
      <c r="D5355" s="26" t="e">
        <f>TRIM(INDEX(#REF!,MATCH(Composições!A5355,#REF!,0),1))</f>
        <v>#REF!</v>
      </c>
      <c r="E5355" s="27"/>
      <c r="F5355" s="49" t="s">
        <v>560</v>
      </c>
      <c r="G5355" s="28" t="str">
        <f t="shared" si="94"/>
        <v/>
      </c>
      <c r="H5355" s="29"/>
      <c r="I5355" s="30"/>
      <c r="J5355" s="155">
        <v>0</v>
      </c>
    </row>
    <row r="5356" spans="1:10" ht="15" hidden="1" thickBot="1" x14ac:dyDescent="0.35">
      <c r="A5356" s="221"/>
      <c r="B5356" s="224"/>
      <c r="C5356" s="170"/>
      <c r="D5356" s="170"/>
      <c r="E5356" s="171"/>
      <c r="F5356" s="54" t="s">
        <v>560</v>
      </c>
      <c r="G5356" s="54" t="str">
        <f t="shared" si="94"/>
        <v/>
      </c>
      <c r="H5356" s="73"/>
      <c r="I5356" s="74"/>
      <c r="J5356" s="155">
        <v>0</v>
      </c>
    </row>
    <row r="5357" spans="1:10" ht="15" hidden="1" thickBot="1" x14ac:dyDescent="0.35">
      <c r="A5357" s="221"/>
      <c r="B5357" s="224"/>
      <c r="C5357" s="36" t="s">
        <v>1700</v>
      </c>
      <c r="D5357" s="163" t="s">
        <v>12</v>
      </c>
      <c r="E5357" s="164">
        <f>ROUND(220/(1+113.69%),4)</f>
        <v>102.9529</v>
      </c>
      <c r="F5357" s="31">
        <v>22.253</v>
      </c>
      <c r="G5357" s="54">
        <f t="shared" si="94"/>
        <v>2291.0108836999998</v>
      </c>
      <c r="H5357" s="39">
        <f>SUM(G5357:G5357)</f>
        <v>2291.0108836999998</v>
      </c>
      <c r="I5357" s="40"/>
      <c r="J5357" s="155">
        <v>0</v>
      </c>
    </row>
    <row r="5358" spans="1:10" ht="15" hidden="1" thickBot="1" x14ac:dyDescent="0.35">
      <c r="A5358" s="221"/>
      <c r="B5358" s="224"/>
      <c r="C5358" s="170"/>
      <c r="D5358" s="170"/>
      <c r="E5358" s="171"/>
      <c r="F5358" s="54" t="s">
        <v>560</v>
      </c>
      <c r="G5358" s="54" t="str">
        <f t="shared" si="94"/>
        <v/>
      </c>
      <c r="H5358" s="73"/>
      <c r="I5358" s="74"/>
      <c r="J5358" s="155">
        <v>0</v>
      </c>
    </row>
    <row r="5359" spans="1:10" ht="27" hidden="1" thickBot="1" x14ac:dyDescent="0.35">
      <c r="A5359" s="221"/>
      <c r="B5359" s="224"/>
      <c r="C5359" s="48" t="s">
        <v>822</v>
      </c>
      <c r="D5359" s="170"/>
      <c r="E5359" s="171"/>
      <c r="F5359" s="54" t="s">
        <v>560</v>
      </c>
      <c r="G5359" s="54" t="str">
        <f t="shared" si="94"/>
        <v/>
      </c>
      <c r="H5359" s="73"/>
      <c r="I5359" s="74"/>
      <c r="J5359" s="155">
        <v>0</v>
      </c>
    </row>
    <row r="5360" spans="1:10" ht="15" hidden="1" thickBot="1" x14ac:dyDescent="0.35">
      <c r="A5360" s="222"/>
      <c r="B5360" s="225"/>
      <c r="C5360" s="55"/>
      <c r="D5360" s="166"/>
      <c r="E5360" s="66"/>
      <c r="F5360" s="76" t="s">
        <v>560</v>
      </c>
      <c r="G5360" s="76" t="str">
        <f t="shared" si="94"/>
        <v/>
      </c>
      <c r="H5360" s="77"/>
      <c r="I5360" s="74"/>
      <c r="J5360" s="155">
        <v>0</v>
      </c>
    </row>
    <row r="5361" spans="1:10" ht="15" hidden="1" thickBot="1" x14ac:dyDescent="0.35">
      <c r="A5361" s="220" t="s">
        <v>2193</v>
      </c>
      <c r="B5361" s="223" t="e">
        <f>INDEX(#REF!,MATCH(Composições!A5361,#REF!,0),2)</f>
        <v>#REF!</v>
      </c>
      <c r="C5361" s="41"/>
      <c r="D5361" s="26" t="e">
        <f>TRIM(INDEX(#REF!,MATCH(Composições!A5361,#REF!,0),1))</f>
        <v>#REF!</v>
      </c>
      <c r="E5361" s="27"/>
      <c r="F5361" s="49" t="s">
        <v>560</v>
      </c>
      <c r="G5361" s="28" t="str">
        <f t="shared" si="94"/>
        <v/>
      </c>
      <c r="H5361" s="29"/>
      <c r="I5361" s="30"/>
      <c r="J5361" s="155">
        <v>0</v>
      </c>
    </row>
    <row r="5362" spans="1:10" ht="15" hidden="1" thickBot="1" x14ac:dyDescent="0.35">
      <c r="A5362" s="221"/>
      <c r="B5362" s="224"/>
      <c r="C5362" s="170"/>
      <c r="D5362" s="170"/>
      <c r="E5362" s="171"/>
      <c r="F5362" s="54" t="s">
        <v>560</v>
      </c>
      <c r="G5362" s="54" t="str">
        <f t="shared" si="94"/>
        <v/>
      </c>
      <c r="H5362" s="73"/>
      <c r="I5362" s="74"/>
      <c r="J5362" s="155">
        <v>0</v>
      </c>
    </row>
    <row r="5363" spans="1:10" ht="15" hidden="1" thickBot="1" x14ac:dyDescent="0.35">
      <c r="A5363" s="221"/>
      <c r="B5363" s="224"/>
      <c r="C5363" s="36" t="s">
        <v>1695</v>
      </c>
      <c r="D5363" s="163" t="s">
        <v>12</v>
      </c>
      <c r="E5363" s="164">
        <f>ROUND(220/(1+113.69%),4)</f>
        <v>102.9529</v>
      </c>
      <c r="F5363" s="31">
        <v>27.633499999999998</v>
      </c>
      <c r="G5363" s="54">
        <f t="shared" si="94"/>
        <v>2844.9489621499997</v>
      </c>
      <c r="H5363" s="39">
        <f>SUM(G5363:G5363)</f>
        <v>2844.9489621499997</v>
      </c>
      <c r="I5363" s="40"/>
      <c r="J5363" s="155">
        <v>0</v>
      </c>
    </row>
    <row r="5364" spans="1:10" ht="15" hidden="1" thickBot="1" x14ac:dyDescent="0.35">
      <c r="A5364" s="221"/>
      <c r="B5364" s="224"/>
      <c r="C5364" s="170"/>
      <c r="D5364" s="170"/>
      <c r="E5364" s="171"/>
      <c r="F5364" s="54" t="s">
        <v>560</v>
      </c>
      <c r="G5364" s="54" t="str">
        <f t="shared" si="94"/>
        <v/>
      </c>
      <c r="H5364" s="73"/>
      <c r="I5364" s="74"/>
      <c r="J5364" s="155">
        <v>0</v>
      </c>
    </row>
    <row r="5365" spans="1:10" ht="27" hidden="1" thickBot="1" x14ac:dyDescent="0.35">
      <c r="A5365" s="221"/>
      <c r="B5365" s="224"/>
      <c r="C5365" s="48" t="s">
        <v>822</v>
      </c>
      <c r="D5365" s="170"/>
      <c r="E5365" s="171"/>
      <c r="F5365" s="54" t="s">
        <v>560</v>
      </c>
      <c r="G5365" s="54" t="str">
        <f t="shared" si="94"/>
        <v/>
      </c>
      <c r="H5365" s="73"/>
      <c r="I5365" s="74"/>
      <c r="J5365" s="155">
        <v>0</v>
      </c>
    </row>
    <row r="5366" spans="1:10" ht="15" hidden="1" thickBot="1" x14ac:dyDescent="0.35">
      <c r="A5366" s="222"/>
      <c r="B5366" s="225"/>
      <c r="C5366" s="55"/>
      <c r="D5366" s="166"/>
      <c r="E5366" s="66"/>
      <c r="F5366" s="76" t="s">
        <v>560</v>
      </c>
      <c r="G5366" s="76" t="str">
        <f t="shared" si="94"/>
        <v/>
      </c>
      <c r="H5366" s="77"/>
      <c r="I5366" s="74"/>
      <c r="J5366" s="155">
        <v>0</v>
      </c>
    </row>
    <row r="5367" spans="1:10" ht="15" hidden="1" thickBot="1" x14ac:dyDescent="0.35">
      <c r="A5367" s="220" t="s">
        <v>2194</v>
      </c>
      <c r="B5367" s="223" t="e">
        <f>INDEX(#REF!,MATCH(Composições!A5367,#REF!,0),2)</f>
        <v>#REF!</v>
      </c>
      <c r="C5367" s="41"/>
      <c r="D5367" s="26" t="e">
        <f>TRIM(INDEX(#REF!,MATCH(Composições!A5367,#REF!,0),1))</f>
        <v>#REF!</v>
      </c>
      <c r="E5367" s="27"/>
      <c r="F5367" s="49" t="s">
        <v>560</v>
      </c>
      <c r="G5367" s="28" t="str">
        <f t="shared" si="94"/>
        <v/>
      </c>
      <c r="H5367" s="29"/>
      <c r="I5367" s="30"/>
      <c r="J5367" s="155">
        <v>0</v>
      </c>
    </row>
    <row r="5368" spans="1:10" ht="15" hidden="1" thickBot="1" x14ac:dyDescent="0.35">
      <c r="A5368" s="221"/>
      <c r="B5368" s="224"/>
      <c r="C5368" s="170"/>
      <c r="D5368" s="170"/>
      <c r="E5368" s="171"/>
      <c r="F5368" s="54" t="s">
        <v>560</v>
      </c>
      <c r="G5368" s="54" t="str">
        <f t="shared" si="94"/>
        <v/>
      </c>
      <c r="H5368" s="73"/>
      <c r="I5368" s="74"/>
      <c r="J5368" s="155">
        <v>0</v>
      </c>
    </row>
    <row r="5369" spans="1:10" ht="15" hidden="1" thickBot="1" x14ac:dyDescent="0.35">
      <c r="A5369" s="221"/>
      <c r="B5369" s="224"/>
      <c r="C5369" s="36" t="s">
        <v>1695</v>
      </c>
      <c r="D5369" s="163" t="s">
        <v>12</v>
      </c>
      <c r="E5369" s="164">
        <f>ROUND(220/(1+113.69%),4)</f>
        <v>102.9529</v>
      </c>
      <c r="F5369" s="31">
        <v>27.633499999999998</v>
      </c>
      <c r="G5369" s="54">
        <f t="shared" si="94"/>
        <v>2844.9489621499997</v>
      </c>
      <c r="H5369" s="39">
        <f>SUM(G5369:G5369)</f>
        <v>2844.9489621499997</v>
      </c>
      <c r="I5369" s="40"/>
      <c r="J5369" s="155">
        <v>0</v>
      </c>
    </row>
    <row r="5370" spans="1:10" ht="15" hidden="1" thickBot="1" x14ac:dyDescent="0.35">
      <c r="A5370" s="221"/>
      <c r="B5370" s="224"/>
      <c r="C5370" s="170"/>
      <c r="D5370" s="170"/>
      <c r="E5370" s="171"/>
      <c r="F5370" s="54" t="s">
        <v>560</v>
      </c>
      <c r="G5370" s="54" t="str">
        <f t="shared" si="94"/>
        <v/>
      </c>
      <c r="H5370" s="73"/>
      <c r="I5370" s="74"/>
      <c r="J5370" s="155">
        <v>0</v>
      </c>
    </row>
    <row r="5371" spans="1:10" ht="27" hidden="1" thickBot="1" x14ac:dyDescent="0.35">
      <c r="A5371" s="221"/>
      <c r="B5371" s="224"/>
      <c r="C5371" s="48" t="s">
        <v>822</v>
      </c>
      <c r="D5371" s="170"/>
      <c r="E5371" s="171"/>
      <c r="F5371" s="54" t="s">
        <v>560</v>
      </c>
      <c r="G5371" s="54" t="str">
        <f t="shared" si="94"/>
        <v/>
      </c>
      <c r="H5371" s="73"/>
      <c r="I5371" s="74"/>
      <c r="J5371" s="155">
        <v>0</v>
      </c>
    </row>
    <row r="5372" spans="1:10" ht="15" hidden="1" thickBot="1" x14ac:dyDescent="0.35">
      <c r="A5372" s="222"/>
      <c r="B5372" s="225"/>
      <c r="C5372" s="55"/>
      <c r="D5372" s="166"/>
      <c r="E5372" s="66"/>
      <c r="F5372" s="76" t="s">
        <v>560</v>
      </c>
      <c r="G5372" s="76" t="str">
        <f t="shared" si="94"/>
        <v/>
      </c>
      <c r="H5372" s="77"/>
      <c r="I5372" s="74"/>
      <c r="J5372" s="155">
        <v>0</v>
      </c>
    </row>
    <row r="5373" spans="1:10" ht="15" hidden="1" thickBot="1" x14ac:dyDescent="0.35">
      <c r="A5373" s="220" t="s">
        <v>2195</v>
      </c>
      <c r="B5373" s="223" t="e">
        <f>INDEX(#REF!,MATCH(Composições!A5373,#REF!,0),2)</f>
        <v>#REF!</v>
      </c>
      <c r="C5373" s="41"/>
      <c r="D5373" s="26" t="e">
        <f>TRIM(INDEX(#REF!,MATCH(Composições!A5373,#REF!,0),1))</f>
        <v>#REF!</v>
      </c>
      <c r="E5373" s="27"/>
      <c r="F5373" s="49" t="s">
        <v>560</v>
      </c>
      <c r="G5373" s="28" t="str">
        <f t="shared" si="94"/>
        <v/>
      </c>
      <c r="H5373" s="29"/>
      <c r="I5373" s="30"/>
      <c r="J5373" s="155">
        <v>0</v>
      </c>
    </row>
    <row r="5374" spans="1:10" ht="15" hidden="1" thickBot="1" x14ac:dyDescent="0.35">
      <c r="A5374" s="221"/>
      <c r="B5374" s="224"/>
      <c r="C5374" s="170"/>
      <c r="D5374" s="170"/>
      <c r="E5374" s="171"/>
      <c r="F5374" s="54" t="s">
        <v>560</v>
      </c>
      <c r="G5374" s="54" t="str">
        <f t="shared" si="94"/>
        <v/>
      </c>
      <c r="H5374" s="73"/>
      <c r="I5374" s="74"/>
      <c r="J5374" s="155">
        <v>0</v>
      </c>
    </row>
    <row r="5375" spans="1:10" ht="15" hidden="1" thickBot="1" x14ac:dyDescent="0.35">
      <c r="A5375" s="221"/>
      <c r="B5375" s="224"/>
      <c r="C5375" s="36" t="s">
        <v>1695</v>
      </c>
      <c r="D5375" s="163" t="s">
        <v>12</v>
      </c>
      <c r="E5375" s="164">
        <f>ROUND(220/(1+113.69%),4)</f>
        <v>102.9529</v>
      </c>
      <c r="F5375" s="31">
        <v>27.633499999999998</v>
      </c>
      <c r="G5375" s="54">
        <f t="shared" si="94"/>
        <v>2844.9489621499997</v>
      </c>
      <c r="H5375" s="39">
        <f>SUM(G5375:G5375)</f>
        <v>2844.9489621499997</v>
      </c>
      <c r="I5375" s="40"/>
      <c r="J5375" s="155">
        <v>0</v>
      </c>
    </row>
    <row r="5376" spans="1:10" ht="15" hidden="1" thickBot="1" x14ac:dyDescent="0.35">
      <c r="A5376" s="221"/>
      <c r="B5376" s="224"/>
      <c r="C5376" s="170"/>
      <c r="D5376" s="170"/>
      <c r="E5376" s="171"/>
      <c r="F5376" s="54" t="s">
        <v>560</v>
      </c>
      <c r="G5376" s="54" t="str">
        <f t="shared" si="94"/>
        <v/>
      </c>
      <c r="H5376" s="73"/>
      <c r="I5376" s="74"/>
      <c r="J5376" s="155">
        <v>0</v>
      </c>
    </row>
    <row r="5377" spans="1:10" ht="27" hidden="1" thickBot="1" x14ac:dyDescent="0.35">
      <c r="A5377" s="221"/>
      <c r="B5377" s="224"/>
      <c r="C5377" s="48" t="s">
        <v>822</v>
      </c>
      <c r="D5377" s="170"/>
      <c r="E5377" s="171"/>
      <c r="F5377" s="54" t="s">
        <v>560</v>
      </c>
      <c r="G5377" s="54" t="str">
        <f t="shared" si="94"/>
        <v/>
      </c>
      <c r="H5377" s="73"/>
      <c r="I5377" s="74"/>
      <c r="J5377" s="155">
        <v>0</v>
      </c>
    </row>
    <row r="5378" spans="1:10" ht="15" hidden="1" thickBot="1" x14ac:dyDescent="0.35">
      <c r="A5378" s="222"/>
      <c r="B5378" s="225"/>
      <c r="C5378" s="55"/>
      <c r="D5378" s="166"/>
      <c r="E5378" s="66"/>
      <c r="F5378" s="76" t="s">
        <v>560</v>
      </c>
      <c r="G5378" s="76" t="str">
        <f t="shared" si="94"/>
        <v/>
      </c>
      <c r="H5378" s="77"/>
      <c r="I5378" s="74"/>
      <c r="J5378" s="155">
        <v>0</v>
      </c>
    </row>
    <row r="5379" spans="1:10" ht="15" hidden="1" thickBot="1" x14ac:dyDescent="0.35">
      <c r="A5379" s="220" t="s">
        <v>2196</v>
      </c>
      <c r="B5379" s="223" t="e">
        <f>INDEX(#REF!,MATCH(Composições!A5379,#REF!,0),2)</f>
        <v>#REF!</v>
      </c>
      <c r="C5379" s="41"/>
      <c r="D5379" s="26" t="e">
        <f>TRIM(INDEX(#REF!,MATCH(Composições!A5379,#REF!,0),1))</f>
        <v>#REF!</v>
      </c>
      <c r="E5379" s="27"/>
      <c r="F5379" s="49" t="s">
        <v>560</v>
      </c>
      <c r="G5379" s="28" t="str">
        <f t="shared" si="94"/>
        <v/>
      </c>
      <c r="H5379" s="29"/>
      <c r="I5379" s="30"/>
      <c r="J5379" s="155">
        <v>0</v>
      </c>
    </row>
    <row r="5380" spans="1:10" ht="15" hidden="1" thickBot="1" x14ac:dyDescent="0.35">
      <c r="A5380" s="221"/>
      <c r="B5380" s="224"/>
      <c r="C5380" s="170"/>
      <c r="D5380" s="170"/>
      <c r="E5380" s="171"/>
      <c r="F5380" s="54" t="s">
        <v>560</v>
      </c>
      <c r="G5380" s="54" t="str">
        <f t="shared" si="94"/>
        <v/>
      </c>
      <c r="H5380" s="73"/>
      <c r="I5380" s="74"/>
      <c r="J5380" s="155">
        <v>0</v>
      </c>
    </row>
    <row r="5381" spans="1:10" ht="15" hidden="1" thickBot="1" x14ac:dyDescent="0.35">
      <c r="A5381" s="221"/>
      <c r="B5381" s="224"/>
      <c r="C5381" s="36" t="s">
        <v>1695</v>
      </c>
      <c r="D5381" s="163" t="s">
        <v>12</v>
      </c>
      <c r="E5381" s="164">
        <f>ROUND(220/(1+113.69%),4)</f>
        <v>102.9529</v>
      </c>
      <c r="F5381" s="31">
        <v>27.633499999999998</v>
      </c>
      <c r="G5381" s="54">
        <f t="shared" si="94"/>
        <v>2844.9489621499997</v>
      </c>
      <c r="H5381" s="39">
        <f>SUM(G5381:G5381)</f>
        <v>2844.9489621499997</v>
      </c>
      <c r="I5381" s="40"/>
      <c r="J5381" s="155">
        <v>0</v>
      </c>
    </row>
    <row r="5382" spans="1:10" ht="15" hidden="1" thickBot="1" x14ac:dyDescent="0.35">
      <c r="A5382" s="221"/>
      <c r="B5382" s="224"/>
      <c r="C5382" s="170"/>
      <c r="D5382" s="170"/>
      <c r="E5382" s="171"/>
      <c r="F5382" s="54" t="s">
        <v>560</v>
      </c>
      <c r="G5382" s="54" t="str">
        <f t="shared" si="94"/>
        <v/>
      </c>
      <c r="H5382" s="73"/>
      <c r="I5382" s="74"/>
      <c r="J5382" s="155">
        <v>0</v>
      </c>
    </row>
    <row r="5383" spans="1:10" ht="27" hidden="1" thickBot="1" x14ac:dyDescent="0.35">
      <c r="A5383" s="221"/>
      <c r="B5383" s="224"/>
      <c r="C5383" s="48" t="s">
        <v>822</v>
      </c>
      <c r="D5383" s="170"/>
      <c r="E5383" s="171"/>
      <c r="F5383" s="54" t="s">
        <v>560</v>
      </c>
      <c r="G5383" s="54" t="str">
        <f t="shared" si="94"/>
        <v/>
      </c>
      <c r="H5383" s="73"/>
      <c r="I5383" s="74"/>
      <c r="J5383" s="155">
        <v>0</v>
      </c>
    </row>
    <row r="5384" spans="1:10" ht="15" hidden="1" thickBot="1" x14ac:dyDescent="0.35">
      <c r="A5384" s="222"/>
      <c r="B5384" s="225"/>
      <c r="C5384" s="55"/>
      <c r="D5384" s="166"/>
      <c r="E5384" s="66"/>
      <c r="F5384" s="76" t="s">
        <v>560</v>
      </c>
      <c r="G5384" s="76" t="str">
        <f t="shared" si="94"/>
        <v/>
      </c>
      <c r="H5384" s="77"/>
      <c r="I5384" s="74"/>
      <c r="J5384" s="155">
        <v>0</v>
      </c>
    </row>
    <row r="5385" spans="1:10" ht="15" hidden="1" thickBot="1" x14ac:dyDescent="0.35">
      <c r="A5385" s="220" t="s">
        <v>2197</v>
      </c>
      <c r="B5385" s="223" t="e">
        <f>INDEX(#REF!,MATCH(Composições!A5385,#REF!,0),2)</f>
        <v>#REF!</v>
      </c>
      <c r="C5385" s="41"/>
      <c r="D5385" s="26" t="e">
        <f>TRIM(INDEX(#REF!,MATCH(Composições!A5385,#REF!,0),1))</f>
        <v>#REF!</v>
      </c>
      <c r="E5385" s="27"/>
      <c r="F5385" s="49" t="s">
        <v>560</v>
      </c>
      <c r="G5385" s="28" t="str">
        <f t="shared" si="94"/>
        <v/>
      </c>
      <c r="H5385" s="29"/>
      <c r="I5385" s="30"/>
      <c r="J5385" s="155">
        <v>0</v>
      </c>
    </row>
    <row r="5386" spans="1:10" ht="15" hidden="1" thickBot="1" x14ac:dyDescent="0.35">
      <c r="A5386" s="221"/>
      <c r="B5386" s="224"/>
      <c r="C5386" s="170"/>
      <c r="D5386" s="170"/>
      <c r="E5386" s="171"/>
      <c r="F5386" s="54" t="s">
        <v>560</v>
      </c>
      <c r="G5386" s="54" t="str">
        <f t="shared" si="94"/>
        <v/>
      </c>
      <c r="H5386" s="73"/>
      <c r="I5386" s="74"/>
      <c r="J5386" s="155">
        <v>0</v>
      </c>
    </row>
    <row r="5387" spans="1:10" ht="15" hidden="1" thickBot="1" x14ac:dyDescent="0.35">
      <c r="A5387" s="221"/>
      <c r="B5387" s="224"/>
      <c r="C5387" s="36" t="s">
        <v>1215</v>
      </c>
      <c r="D5387" s="163" t="s">
        <v>12</v>
      </c>
      <c r="E5387" s="164">
        <f>ROUND(220/(1+113.69%),4)</f>
        <v>102.9529</v>
      </c>
      <c r="F5387" s="31">
        <v>20.484999999999999</v>
      </c>
      <c r="G5387" s="54">
        <f t="shared" si="94"/>
        <v>2108.9901565</v>
      </c>
      <c r="H5387" s="39">
        <f>SUM(G5387:G5387)</f>
        <v>2108.9901565</v>
      </c>
      <c r="I5387" s="40"/>
      <c r="J5387" s="155">
        <v>0</v>
      </c>
    </row>
    <row r="5388" spans="1:10" ht="15" hidden="1" thickBot="1" x14ac:dyDescent="0.35">
      <c r="A5388" s="221"/>
      <c r="B5388" s="224"/>
      <c r="C5388" s="170"/>
      <c r="D5388" s="170"/>
      <c r="E5388" s="171"/>
      <c r="F5388" s="54" t="s">
        <v>560</v>
      </c>
      <c r="G5388" s="54" t="str">
        <f t="shared" si="94"/>
        <v/>
      </c>
      <c r="H5388" s="73"/>
      <c r="I5388" s="74"/>
      <c r="J5388" s="155">
        <v>0</v>
      </c>
    </row>
    <row r="5389" spans="1:10" ht="27" hidden="1" thickBot="1" x14ac:dyDescent="0.35">
      <c r="A5389" s="221"/>
      <c r="B5389" s="224"/>
      <c r="C5389" s="48" t="s">
        <v>822</v>
      </c>
      <c r="D5389" s="170"/>
      <c r="E5389" s="171"/>
      <c r="F5389" s="54" t="s">
        <v>560</v>
      </c>
      <c r="G5389" s="54" t="str">
        <f t="shared" si="94"/>
        <v/>
      </c>
      <c r="H5389" s="73"/>
      <c r="I5389" s="74"/>
      <c r="J5389" s="155">
        <v>0</v>
      </c>
    </row>
    <row r="5390" spans="1:10" ht="15" hidden="1" thickBot="1" x14ac:dyDescent="0.35">
      <c r="A5390" s="222"/>
      <c r="B5390" s="225"/>
      <c r="C5390" s="55"/>
      <c r="D5390" s="166"/>
      <c r="E5390" s="66"/>
      <c r="F5390" s="76" t="s">
        <v>560</v>
      </c>
      <c r="G5390" s="76" t="str">
        <f t="shared" si="94"/>
        <v/>
      </c>
      <c r="H5390" s="77"/>
      <c r="I5390" s="74"/>
      <c r="J5390" s="155">
        <v>0</v>
      </c>
    </row>
    <row r="5391" spans="1:10" ht="15" hidden="1" thickBot="1" x14ac:dyDescent="0.35">
      <c r="A5391" s="220" t="s">
        <v>2198</v>
      </c>
      <c r="B5391" s="223" t="e">
        <f>INDEX(#REF!,MATCH(Composições!A5391,#REF!,0),2)</f>
        <v>#REF!</v>
      </c>
      <c r="C5391" s="41"/>
      <c r="D5391" s="26" t="e">
        <f>TRIM(INDEX(#REF!,MATCH(Composições!A5391,#REF!,0),1))</f>
        <v>#REF!</v>
      </c>
      <c r="E5391" s="27"/>
      <c r="F5391" s="49" t="s">
        <v>560</v>
      </c>
      <c r="G5391" s="28" t="str">
        <f t="shared" si="94"/>
        <v/>
      </c>
      <c r="H5391" s="29"/>
      <c r="I5391" s="30"/>
      <c r="J5391" s="155">
        <v>0</v>
      </c>
    </row>
    <row r="5392" spans="1:10" ht="15" hidden="1" thickBot="1" x14ac:dyDescent="0.35">
      <c r="A5392" s="221"/>
      <c r="B5392" s="224"/>
      <c r="C5392" s="170"/>
      <c r="D5392" s="170"/>
      <c r="E5392" s="171"/>
      <c r="F5392" s="54" t="s">
        <v>560</v>
      </c>
      <c r="G5392" s="54" t="str">
        <f t="shared" si="94"/>
        <v/>
      </c>
      <c r="H5392" s="73"/>
      <c r="I5392" s="74"/>
      <c r="J5392" s="155">
        <v>0</v>
      </c>
    </row>
    <row r="5393" spans="1:10" ht="15" hidden="1" thickBot="1" x14ac:dyDescent="0.35">
      <c r="A5393" s="221"/>
      <c r="B5393" s="224"/>
      <c r="C5393" s="36" t="s">
        <v>1214</v>
      </c>
      <c r="D5393" s="163" t="s">
        <v>12</v>
      </c>
      <c r="E5393" s="164">
        <f>ROUND(220/(1+113.69%),4)</f>
        <v>102.9529</v>
      </c>
      <c r="F5393" s="31">
        <v>15.928999999999998</v>
      </c>
      <c r="G5393" s="54">
        <f t="shared" si="94"/>
        <v>1639.9367440999999</v>
      </c>
      <c r="H5393" s="39">
        <f>SUM(G5393:G5393)</f>
        <v>1639.9367440999999</v>
      </c>
      <c r="I5393" s="40"/>
      <c r="J5393" s="155">
        <v>0</v>
      </c>
    </row>
    <row r="5394" spans="1:10" ht="15" hidden="1" thickBot="1" x14ac:dyDescent="0.35">
      <c r="A5394" s="221"/>
      <c r="B5394" s="224"/>
      <c r="C5394" s="170"/>
      <c r="D5394" s="170"/>
      <c r="E5394" s="171"/>
      <c r="F5394" s="54" t="s">
        <v>560</v>
      </c>
      <c r="G5394" s="54" t="str">
        <f t="shared" si="94"/>
        <v/>
      </c>
      <c r="H5394" s="73"/>
      <c r="I5394" s="74"/>
      <c r="J5394" s="155">
        <v>0</v>
      </c>
    </row>
    <row r="5395" spans="1:10" ht="27" hidden="1" thickBot="1" x14ac:dyDescent="0.35">
      <c r="A5395" s="221"/>
      <c r="B5395" s="224"/>
      <c r="C5395" s="48" t="s">
        <v>822</v>
      </c>
      <c r="D5395" s="170"/>
      <c r="E5395" s="171"/>
      <c r="F5395" s="54" t="s">
        <v>560</v>
      </c>
      <c r="G5395" s="54" t="str">
        <f t="shared" si="94"/>
        <v/>
      </c>
      <c r="H5395" s="73"/>
      <c r="I5395" s="74"/>
      <c r="J5395" s="155">
        <v>0</v>
      </c>
    </row>
    <row r="5396" spans="1:10" ht="15" hidden="1" thickBot="1" x14ac:dyDescent="0.35">
      <c r="A5396" s="222"/>
      <c r="B5396" s="225"/>
      <c r="C5396" s="55"/>
      <c r="D5396" s="166"/>
      <c r="E5396" s="66"/>
      <c r="F5396" s="76" t="s">
        <v>560</v>
      </c>
      <c r="G5396" s="76" t="str">
        <f t="shared" si="94"/>
        <v/>
      </c>
      <c r="H5396" s="77"/>
      <c r="I5396" s="74"/>
      <c r="J5396" s="155">
        <v>0</v>
      </c>
    </row>
    <row r="5397" spans="1:10" ht="15" hidden="1" thickBot="1" x14ac:dyDescent="0.35">
      <c r="A5397" s="220" t="s">
        <v>2199</v>
      </c>
      <c r="B5397" s="223" t="e">
        <f>INDEX(#REF!,MATCH(Composições!A5397,#REF!,0),2)</f>
        <v>#REF!</v>
      </c>
      <c r="C5397" s="41"/>
      <c r="D5397" s="26" t="e">
        <f>TRIM(INDEX(#REF!,MATCH(Composições!A5397,#REF!,0),1))</f>
        <v>#REF!</v>
      </c>
      <c r="E5397" s="27"/>
      <c r="F5397" s="49" t="s">
        <v>560</v>
      </c>
      <c r="G5397" s="28" t="str">
        <f t="shared" si="94"/>
        <v/>
      </c>
      <c r="H5397" s="29"/>
      <c r="I5397" s="30"/>
      <c r="J5397" s="155">
        <v>0</v>
      </c>
    </row>
    <row r="5398" spans="1:10" ht="15" hidden="1" thickBot="1" x14ac:dyDescent="0.35">
      <c r="A5398" s="221"/>
      <c r="B5398" s="224"/>
      <c r="C5398" s="170"/>
      <c r="D5398" s="170"/>
      <c r="E5398" s="171"/>
      <c r="F5398" s="54" t="s">
        <v>560</v>
      </c>
      <c r="G5398" s="54" t="str">
        <f t="shared" si="94"/>
        <v/>
      </c>
      <c r="H5398" s="73"/>
      <c r="I5398" s="74"/>
      <c r="J5398" s="155">
        <v>0</v>
      </c>
    </row>
    <row r="5399" spans="1:10" ht="15" hidden="1" thickBot="1" x14ac:dyDescent="0.35">
      <c r="A5399" s="221"/>
      <c r="B5399" s="224"/>
      <c r="C5399" s="36" t="s">
        <v>1695</v>
      </c>
      <c r="D5399" s="163" t="s">
        <v>12</v>
      </c>
      <c r="E5399" s="164">
        <f>ROUND(220/(1+113.69%),4)</f>
        <v>102.9529</v>
      </c>
      <c r="F5399" s="31">
        <v>27.633499999999998</v>
      </c>
      <c r="G5399" s="54">
        <f t="shared" si="94"/>
        <v>2844.9489621499997</v>
      </c>
      <c r="H5399" s="39">
        <f>SUM(G5399:G5399)</f>
        <v>2844.9489621499997</v>
      </c>
      <c r="I5399" s="40"/>
      <c r="J5399" s="155">
        <v>0</v>
      </c>
    </row>
    <row r="5400" spans="1:10" ht="15" hidden="1" thickBot="1" x14ac:dyDescent="0.35">
      <c r="A5400" s="221"/>
      <c r="B5400" s="224"/>
      <c r="C5400" s="170"/>
      <c r="D5400" s="170"/>
      <c r="E5400" s="171"/>
      <c r="F5400" s="54" t="s">
        <v>560</v>
      </c>
      <c r="G5400" s="54" t="str">
        <f t="shared" si="94"/>
        <v/>
      </c>
      <c r="H5400" s="73"/>
      <c r="I5400" s="74"/>
      <c r="J5400" s="155">
        <v>0</v>
      </c>
    </row>
    <row r="5401" spans="1:10" ht="27" hidden="1" thickBot="1" x14ac:dyDescent="0.35">
      <c r="A5401" s="221"/>
      <c r="B5401" s="224"/>
      <c r="C5401" s="48" t="s">
        <v>822</v>
      </c>
      <c r="D5401" s="170"/>
      <c r="E5401" s="171"/>
      <c r="F5401" s="54" t="s">
        <v>560</v>
      </c>
      <c r="G5401" s="54" t="str">
        <f t="shared" si="94"/>
        <v/>
      </c>
      <c r="H5401" s="73"/>
      <c r="I5401" s="74"/>
      <c r="J5401" s="155">
        <v>0</v>
      </c>
    </row>
    <row r="5402" spans="1:10" ht="15" hidden="1" thickBot="1" x14ac:dyDescent="0.35">
      <c r="A5402" s="222"/>
      <c r="B5402" s="225"/>
      <c r="C5402" s="55"/>
      <c r="D5402" s="166"/>
      <c r="E5402" s="66"/>
      <c r="F5402" s="76" t="s">
        <v>560</v>
      </c>
      <c r="G5402" s="76" t="str">
        <f t="shared" si="94"/>
        <v/>
      </c>
      <c r="H5402" s="77"/>
      <c r="I5402" s="74"/>
      <c r="J5402" s="155">
        <v>0</v>
      </c>
    </row>
    <row r="5403" spans="1:10" ht="15" hidden="1" thickBot="1" x14ac:dyDescent="0.35">
      <c r="A5403" s="220" t="s">
        <v>2200</v>
      </c>
      <c r="B5403" s="223" t="e">
        <f>INDEX(#REF!,MATCH(Composições!A5403,#REF!,0),2)</f>
        <v>#REF!</v>
      </c>
      <c r="C5403" s="41"/>
      <c r="D5403" s="26" t="e">
        <f>TRIM(INDEX(#REF!,MATCH(Composições!A5403,#REF!,0),1))</f>
        <v>#REF!</v>
      </c>
      <c r="E5403" s="27"/>
      <c r="F5403" s="49" t="s">
        <v>560</v>
      </c>
      <c r="G5403" s="28" t="str">
        <f t="shared" si="94"/>
        <v/>
      </c>
      <c r="H5403" s="29"/>
      <c r="I5403" s="30"/>
      <c r="J5403" s="155">
        <v>0</v>
      </c>
    </row>
    <row r="5404" spans="1:10" ht="15" hidden="1" thickBot="1" x14ac:dyDescent="0.35">
      <c r="A5404" s="221"/>
      <c r="B5404" s="224"/>
      <c r="C5404" s="170"/>
      <c r="D5404" s="170"/>
      <c r="E5404" s="171"/>
      <c r="F5404" s="54" t="s">
        <v>560</v>
      </c>
      <c r="G5404" s="54" t="str">
        <f t="shared" si="94"/>
        <v/>
      </c>
      <c r="H5404" s="73"/>
      <c r="I5404" s="74"/>
      <c r="J5404" s="155">
        <v>0</v>
      </c>
    </row>
    <row r="5405" spans="1:10" ht="15" hidden="1" thickBot="1" x14ac:dyDescent="0.35">
      <c r="A5405" s="221"/>
      <c r="B5405" s="224"/>
      <c r="C5405" s="36" t="s">
        <v>1695</v>
      </c>
      <c r="D5405" s="163" t="s">
        <v>12</v>
      </c>
      <c r="E5405" s="164">
        <f>ROUND(220/(1+113.69%),4)</f>
        <v>102.9529</v>
      </c>
      <c r="F5405" s="31">
        <v>27.633499999999998</v>
      </c>
      <c r="G5405" s="54">
        <f t="shared" ref="G5405:G5468" si="95">IF(ISNUMBER(F5405),E5405*F5405,"")</f>
        <v>2844.9489621499997</v>
      </c>
      <c r="H5405" s="39">
        <f>SUM(G5405:G5405)</f>
        <v>2844.9489621499997</v>
      </c>
      <c r="I5405" s="40"/>
      <c r="J5405" s="155">
        <v>0</v>
      </c>
    </row>
    <row r="5406" spans="1:10" ht="15" hidden="1" thickBot="1" x14ac:dyDescent="0.35">
      <c r="A5406" s="221"/>
      <c r="B5406" s="224"/>
      <c r="C5406" s="170"/>
      <c r="D5406" s="170"/>
      <c r="E5406" s="171"/>
      <c r="F5406" s="54" t="s">
        <v>560</v>
      </c>
      <c r="G5406" s="54" t="str">
        <f t="shared" si="95"/>
        <v/>
      </c>
      <c r="H5406" s="73"/>
      <c r="I5406" s="74"/>
      <c r="J5406" s="155">
        <v>0</v>
      </c>
    </row>
    <row r="5407" spans="1:10" ht="27" hidden="1" thickBot="1" x14ac:dyDescent="0.35">
      <c r="A5407" s="221"/>
      <c r="B5407" s="224"/>
      <c r="C5407" s="48" t="s">
        <v>822</v>
      </c>
      <c r="D5407" s="170"/>
      <c r="E5407" s="171"/>
      <c r="F5407" s="54" t="s">
        <v>560</v>
      </c>
      <c r="G5407" s="54" t="str">
        <f t="shared" si="95"/>
        <v/>
      </c>
      <c r="H5407" s="73"/>
      <c r="I5407" s="74"/>
      <c r="J5407" s="155">
        <v>0</v>
      </c>
    </row>
    <row r="5408" spans="1:10" ht="15" hidden="1" thickBot="1" x14ac:dyDescent="0.35">
      <c r="A5408" s="222"/>
      <c r="B5408" s="225"/>
      <c r="C5408" s="55"/>
      <c r="D5408" s="166"/>
      <c r="E5408" s="66"/>
      <c r="F5408" s="76" t="s">
        <v>560</v>
      </c>
      <c r="G5408" s="76" t="str">
        <f t="shared" si="95"/>
        <v/>
      </c>
      <c r="H5408" s="77"/>
      <c r="I5408" s="74"/>
      <c r="J5408" s="155">
        <v>0</v>
      </c>
    </row>
    <row r="5409" spans="1:10" ht="15" hidden="1" thickBot="1" x14ac:dyDescent="0.35">
      <c r="A5409" s="220" t="s">
        <v>2201</v>
      </c>
      <c r="B5409" s="223" t="e">
        <f>INDEX(#REF!,MATCH(Composições!A5409,#REF!,0),2)</f>
        <v>#REF!</v>
      </c>
      <c r="C5409" s="41"/>
      <c r="D5409" s="26" t="e">
        <f>TRIM(INDEX(#REF!,MATCH(Composições!A5409,#REF!,0),1))</f>
        <v>#REF!</v>
      </c>
      <c r="E5409" s="27"/>
      <c r="F5409" s="49" t="s">
        <v>560</v>
      </c>
      <c r="G5409" s="28" t="str">
        <f t="shared" si="95"/>
        <v/>
      </c>
      <c r="H5409" s="29"/>
      <c r="I5409" s="30"/>
      <c r="J5409" s="155">
        <v>0</v>
      </c>
    </row>
    <row r="5410" spans="1:10" ht="15" hidden="1" thickBot="1" x14ac:dyDescent="0.35">
      <c r="A5410" s="221"/>
      <c r="B5410" s="224"/>
      <c r="C5410" s="170"/>
      <c r="D5410" s="170"/>
      <c r="E5410" s="171"/>
      <c r="F5410" s="54" t="s">
        <v>560</v>
      </c>
      <c r="G5410" s="54" t="str">
        <f t="shared" si="95"/>
        <v/>
      </c>
      <c r="H5410" s="73"/>
      <c r="I5410" s="74"/>
      <c r="J5410" s="155">
        <v>0</v>
      </c>
    </row>
    <row r="5411" spans="1:10" ht="15" hidden="1" thickBot="1" x14ac:dyDescent="0.35">
      <c r="A5411" s="221"/>
      <c r="B5411" s="224"/>
      <c r="C5411" s="36" t="s">
        <v>1695</v>
      </c>
      <c r="D5411" s="163" t="s">
        <v>12</v>
      </c>
      <c r="E5411" s="164">
        <f>ROUND(220/(1+113.69%),4)</f>
        <v>102.9529</v>
      </c>
      <c r="F5411" s="31">
        <v>27.633499999999998</v>
      </c>
      <c r="G5411" s="54">
        <f t="shared" si="95"/>
        <v>2844.9489621499997</v>
      </c>
      <c r="H5411" s="39">
        <f>SUM(G5411:G5411)</f>
        <v>2844.9489621499997</v>
      </c>
      <c r="I5411" s="40"/>
      <c r="J5411" s="155">
        <v>0</v>
      </c>
    </row>
    <row r="5412" spans="1:10" ht="15" hidden="1" thickBot="1" x14ac:dyDescent="0.35">
      <c r="A5412" s="221"/>
      <c r="B5412" s="224"/>
      <c r="C5412" s="170"/>
      <c r="D5412" s="170"/>
      <c r="E5412" s="171"/>
      <c r="F5412" s="54" t="s">
        <v>560</v>
      </c>
      <c r="G5412" s="54" t="str">
        <f t="shared" si="95"/>
        <v/>
      </c>
      <c r="H5412" s="73"/>
      <c r="I5412" s="74"/>
      <c r="J5412" s="155">
        <v>0</v>
      </c>
    </row>
    <row r="5413" spans="1:10" ht="27" hidden="1" thickBot="1" x14ac:dyDescent="0.35">
      <c r="A5413" s="221"/>
      <c r="B5413" s="224"/>
      <c r="C5413" s="48" t="s">
        <v>822</v>
      </c>
      <c r="D5413" s="170"/>
      <c r="E5413" s="171"/>
      <c r="F5413" s="54" t="s">
        <v>560</v>
      </c>
      <c r="G5413" s="54" t="str">
        <f t="shared" si="95"/>
        <v/>
      </c>
      <c r="H5413" s="73"/>
      <c r="I5413" s="74"/>
      <c r="J5413" s="155">
        <v>0</v>
      </c>
    </row>
    <row r="5414" spans="1:10" ht="15" hidden="1" thickBot="1" x14ac:dyDescent="0.35">
      <c r="A5414" s="222"/>
      <c r="B5414" s="225"/>
      <c r="C5414" s="55"/>
      <c r="D5414" s="166"/>
      <c r="E5414" s="66"/>
      <c r="F5414" s="76" t="s">
        <v>560</v>
      </c>
      <c r="G5414" s="76" t="str">
        <f t="shared" si="95"/>
        <v/>
      </c>
      <c r="H5414" s="77"/>
      <c r="I5414" s="74"/>
      <c r="J5414" s="155">
        <v>0</v>
      </c>
    </row>
    <row r="5415" spans="1:10" ht="15" hidden="1" thickBot="1" x14ac:dyDescent="0.35">
      <c r="A5415" s="220" t="s">
        <v>2202</v>
      </c>
      <c r="B5415" s="223" t="e">
        <f>INDEX(#REF!,MATCH(Composições!A5415,#REF!,0),2)</f>
        <v>#REF!</v>
      </c>
      <c r="C5415" s="41"/>
      <c r="D5415" s="26" t="e">
        <f>TRIM(INDEX(#REF!,MATCH(Composições!A5415,#REF!,0),1))</f>
        <v>#REF!</v>
      </c>
      <c r="E5415" s="27"/>
      <c r="F5415" s="49" t="s">
        <v>560</v>
      </c>
      <c r="G5415" s="28" t="str">
        <f t="shared" si="95"/>
        <v/>
      </c>
      <c r="H5415" s="29"/>
      <c r="I5415" s="30"/>
      <c r="J5415" s="155">
        <v>0</v>
      </c>
    </row>
    <row r="5416" spans="1:10" ht="15" hidden="1" thickBot="1" x14ac:dyDescent="0.35">
      <c r="A5416" s="221"/>
      <c r="B5416" s="224"/>
      <c r="C5416" s="170"/>
      <c r="D5416" s="170"/>
      <c r="E5416" s="171"/>
      <c r="F5416" s="54" t="s">
        <v>560</v>
      </c>
      <c r="G5416" s="54" t="str">
        <f t="shared" si="95"/>
        <v/>
      </c>
      <c r="H5416" s="73"/>
      <c r="I5416" s="74"/>
      <c r="J5416" s="155">
        <v>0</v>
      </c>
    </row>
    <row r="5417" spans="1:10" ht="15" hidden="1" thickBot="1" x14ac:dyDescent="0.35">
      <c r="A5417" s="221"/>
      <c r="B5417" s="224"/>
      <c r="C5417" s="36" t="s">
        <v>1695</v>
      </c>
      <c r="D5417" s="163" t="s">
        <v>12</v>
      </c>
      <c r="E5417" s="164">
        <f>ROUND(220/(1+113.69%),4)</f>
        <v>102.9529</v>
      </c>
      <c r="F5417" s="31">
        <v>27.633499999999998</v>
      </c>
      <c r="G5417" s="54">
        <f t="shared" si="95"/>
        <v>2844.9489621499997</v>
      </c>
      <c r="H5417" s="39">
        <f>SUM(G5417:G5417)</f>
        <v>2844.9489621499997</v>
      </c>
      <c r="I5417" s="40"/>
      <c r="J5417" s="155">
        <v>0</v>
      </c>
    </row>
    <row r="5418" spans="1:10" ht="15" hidden="1" thickBot="1" x14ac:dyDescent="0.35">
      <c r="A5418" s="221"/>
      <c r="B5418" s="224"/>
      <c r="C5418" s="170"/>
      <c r="D5418" s="170"/>
      <c r="E5418" s="171"/>
      <c r="F5418" s="54" t="s">
        <v>560</v>
      </c>
      <c r="G5418" s="54" t="str">
        <f t="shared" si="95"/>
        <v/>
      </c>
      <c r="H5418" s="73"/>
      <c r="I5418" s="74"/>
      <c r="J5418" s="155">
        <v>0</v>
      </c>
    </row>
    <row r="5419" spans="1:10" ht="27" hidden="1" thickBot="1" x14ac:dyDescent="0.35">
      <c r="A5419" s="221"/>
      <c r="B5419" s="224"/>
      <c r="C5419" s="48" t="s">
        <v>822</v>
      </c>
      <c r="D5419" s="170"/>
      <c r="E5419" s="171"/>
      <c r="F5419" s="54" t="s">
        <v>560</v>
      </c>
      <c r="G5419" s="54" t="str">
        <f t="shared" si="95"/>
        <v/>
      </c>
      <c r="H5419" s="73"/>
      <c r="I5419" s="74"/>
      <c r="J5419" s="155">
        <v>0</v>
      </c>
    </row>
    <row r="5420" spans="1:10" ht="15" hidden="1" thickBot="1" x14ac:dyDescent="0.35">
      <c r="A5420" s="222"/>
      <c r="B5420" s="225"/>
      <c r="C5420" s="55"/>
      <c r="D5420" s="166"/>
      <c r="E5420" s="66"/>
      <c r="F5420" s="76" t="s">
        <v>560</v>
      </c>
      <c r="G5420" s="76" t="str">
        <f t="shared" si="95"/>
        <v/>
      </c>
      <c r="H5420" s="77"/>
      <c r="I5420" s="74"/>
      <c r="J5420" s="155">
        <v>0</v>
      </c>
    </row>
    <row r="5421" spans="1:10" ht="15" hidden="1" thickBot="1" x14ac:dyDescent="0.35">
      <c r="A5421" s="220" t="s">
        <v>2203</v>
      </c>
      <c r="B5421" s="223" t="e">
        <f>INDEX(#REF!,MATCH(Composições!A5421,#REF!,0),2)</f>
        <v>#REF!</v>
      </c>
      <c r="C5421" s="41"/>
      <c r="D5421" s="26" t="e">
        <f>TRIM(INDEX(#REF!,MATCH(Composições!A5421,#REF!,0),1))</f>
        <v>#REF!</v>
      </c>
      <c r="E5421" s="27"/>
      <c r="F5421" s="49" t="s">
        <v>560</v>
      </c>
      <c r="G5421" s="28" t="str">
        <f t="shared" si="95"/>
        <v/>
      </c>
      <c r="H5421" s="29"/>
      <c r="I5421" s="30"/>
      <c r="J5421" s="155">
        <v>0</v>
      </c>
    </row>
    <row r="5422" spans="1:10" ht="15" hidden="1" thickBot="1" x14ac:dyDescent="0.35">
      <c r="A5422" s="221"/>
      <c r="B5422" s="224"/>
      <c r="C5422" s="170"/>
      <c r="D5422" s="170"/>
      <c r="E5422" s="171"/>
      <c r="F5422" s="54" t="s">
        <v>560</v>
      </c>
      <c r="G5422" s="54" t="str">
        <f t="shared" si="95"/>
        <v/>
      </c>
      <c r="H5422" s="73"/>
      <c r="I5422" s="74"/>
      <c r="J5422" s="155">
        <v>0</v>
      </c>
    </row>
    <row r="5423" spans="1:10" ht="15" hidden="1" thickBot="1" x14ac:dyDescent="0.35">
      <c r="A5423" s="221"/>
      <c r="B5423" s="224"/>
      <c r="C5423" s="36" t="s">
        <v>1215</v>
      </c>
      <c r="D5423" s="163" t="s">
        <v>12</v>
      </c>
      <c r="E5423" s="164">
        <f>ROUND(220/(1+113.69%),4)</f>
        <v>102.9529</v>
      </c>
      <c r="F5423" s="31">
        <v>20.484999999999999</v>
      </c>
      <c r="G5423" s="54">
        <f t="shared" si="95"/>
        <v>2108.9901565</v>
      </c>
      <c r="H5423" s="39">
        <f>SUM(G5423:G5423)</f>
        <v>2108.9901565</v>
      </c>
      <c r="I5423" s="40"/>
      <c r="J5423" s="155">
        <v>0</v>
      </c>
    </row>
    <row r="5424" spans="1:10" ht="15" hidden="1" thickBot="1" x14ac:dyDescent="0.35">
      <c r="A5424" s="221"/>
      <c r="B5424" s="224"/>
      <c r="C5424" s="170"/>
      <c r="D5424" s="170"/>
      <c r="E5424" s="171"/>
      <c r="F5424" s="54" t="s">
        <v>560</v>
      </c>
      <c r="G5424" s="54" t="str">
        <f t="shared" si="95"/>
        <v/>
      </c>
      <c r="H5424" s="73"/>
      <c r="I5424" s="74"/>
      <c r="J5424" s="155">
        <v>0</v>
      </c>
    </row>
    <row r="5425" spans="1:10" ht="27" hidden="1" thickBot="1" x14ac:dyDescent="0.35">
      <c r="A5425" s="221"/>
      <c r="B5425" s="224"/>
      <c r="C5425" s="48" t="s">
        <v>822</v>
      </c>
      <c r="D5425" s="170"/>
      <c r="E5425" s="171"/>
      <c r="F5425" s="54" t="s">
        <v>560</v>
      </c>
      <c r="G5425" s="54" t="str">
        <f t="shared" si="95"/>
        <v/>
      </c>
      <c r="H5425" s="73"/>
      <c r="I5425" s="74"/>
      <c r="J5425" s="155">
        <v>0</v>
      </c>
    </row>
    <row r="5426" spans="1:10" ht="15" hidden="1" thickBot="1" x14ac:dyDescent="0.35">
      <c r="A5426" s="222"/>
      <c r="B5426" s="225"/>
      <c r="C5426" s="55"/>
      <c r="D5426" s="166"/>
      <c r="E5426" s="66"/>
      <c r="F5426" s="76" t="s">
        <v>560</v>
      </c>
      <c r="G5426" s="76" t="str">
        <f t="shared" si="95"/>
        <v/>
      </c>
      <c r="H5426" s="77"/>
      <c r="I5426" s="74"/>
      <c r="J5426" s="155">
        <v>0</v>
      </c>
    </row>
    <row r="5427" spans="1:10" ht="15" hidden="1" thickBot="1" x14ac:dyDescent="0.35">
      <c r="A5427" s="220" t="s">
        <v>2204</v>
      </c>
      <c r="B5427" s="223" t="e">
        <f>INDEX(#REF!,MATCH(Composições!A5427,#REF!,0),2)</f>
        <v>#REF!</v>
      </c>
      <c r="C5427" s="41"/>
      <c r="D5427" s="26" t="e">
        <f>TRIM(INDEX(#REF!,MATCH(Composições!A5427,#REF!,0),1))</f>
        <v>#REF!</v>
      </c>
      <c r="E5427" s="27"/>
      <c r="F5427" s="49" t="s">
        <v>560</v>
      </c>
      <c r="G5427" s="28" t="str">
        <f t="shared" si="95"/>
        <v/>
      </c>
      <c r="H5427" s="29"/>
      <c r="I5427" s="30"/>
      <c r="J5427" s="155">
        <v>0</v>
      </c>
    </row>
    <row r="5428" spans="1:10" ht="15" hidden="1" thickBot="1" x14ac:dyDescent="0.35">
      <c r="A5428" s="221"/>
      <c r="B5428" s="224"/>
      <c r="C5428" s="170"/>
      <c r="D5428" s="170"/>
      <c r="E5428" s="171"/>
      <c r="F5428" s="54" t="s">
        <v>560</v>
      </c>
      <c r="G5428" s="54" t="str">
        <f t="shared" si="95"/>
        <v/>
      </c>
      <c r="H5428" s="73"/>
      <c r="I5428" s="74"/>
      <c r="J5428" s="155">
        <v>0</v>
      </c>
    </row>
    <row r="5429" spans="1:10" ht="15" hidden="1" thickBot="1" x14ac:dyDescent="0.35">
      <c r="A5429" s="221"/>
      <c r="B5429" s="224"/>
      <c r="C5429" s="36" t="s">
        <v>1215</v>
      </c>
      <c r="D5429" s="163" t="s">
        <v>12</v>
      </c>
      <c r="E5429" s="164">
        <f>ROUND(220/(1+113.69%),4)</f>
        <v>102.9529</v>
      </c>
      <c r="F5429" s="31">
        <v>20.484999999999999</v>
      </c>
      <c r="G5429" s="54">
        <f t="shared" si="95"/>
        <v>2108.9901565</v>
      </c>
      <c r="H5429" s="39">
        <f>SUM(G5429:G5429)</f>
        <v>2108.9901565</v>
      </c>
      <c r="I5429" s="40"/>
      <c r="J5429" s="155">
        <v>0</v>
      </c>
    </row>
    <row r="5430" spans="1:10" ht="15" hidden="1" thickBot="1" x14ac:dyDescent="0.35">
      <c r="A5430" s="221"/>
      <c r="B5430" s="224"/>
      <c r="C5430" s="170"/>
      <c r="D5430" s="170"/>
      <c r="E5430" s="171"/>
      <c r="F5430" s="54" t="s">
        <v>560</v>
      </c>
      <c r="G5430" s="54" t="str">
        <f t="shared" si="95"/>
        <v/>
      </c>
      <c r="H5430" s="73"/>
      <c r="I5430" s="74"/>
      <c r="J5430" s="155">
        <v>0</v>
      </c>
    </row>
    <row r="5431" spans="1:10" ht="27" hidden="1" thickBot="1" x14ac:dyDescent="0.35">
      <c r="A5431" s="221"/>
      <c r="B5431" s="224"/>
      <c r="C5431" s="48" t="s">
        <v>822</v>
      </c>
      <c r="D5431" s="170"/>
      <c r="E5431" s="171"/>
      <c r="F5431" s="54" t="s">
        <v>560</v>
      </c>
      <c r="G5431" s="54" t="str">
        <f t="shared" si="95"/>
        <v/>
      </c>
      <c r="H5431" s="73"/>
      <c r="I5431" s="74"/>
      <c r="J5431" s="155">
        <v>0</v>
      </c>
    </row>
    <row r="5432" spans="1:10" ht="15" hidden="1" thickBot="1" x14ac:dyDescent="0.35">
      <c r="A5432" s="222"/>
      <c r="B5432" s="225"/>
      <c r="C5432" s="55"/>
      <c r="D5432" s="166"/>
      <c r="E5432" s="66"/>
      <c r="F5432" s="76" t="s">
        <v>560</v>
      </c>
      <c r="G5432" s="76" t="str">
        <f t="shared" si="95"/>
        <v/>
      </c>
      <c r="H5432" s="77"/>
      <c r="I5432" s="74"/>
      <c r="J5432" s="155">
        <v>0</v>
      </c>
    </row>
    <row r="5433" spans="1:10" ht="15" hidden="1" thickBot="1" x14ac:dyDescent="0.35">
      <c r="A5433" s="220" t="s">
        <v>2205</v>
      </c>
      <c r="B5433" s="223" t="e">
        <f>INDEX(#REF!,MATCH(Composições!A5433,#REF!,0),2)</f>
        <v>#REF!</v>
      </c>
      <c r="C5433" s="41"/>
      <c r="D5433" s="26" t="e">
        <f>TRIM(INDEX(#REF!,MATCH(Composições!A5433,#REF!,0),1))</f>
        <v>#REF!</v>
      </c>
      <c r="E5433" s="27"/>
      <c r="F5433" s="49" t="s">
        <v>560</v>
      </c>
      <c r="G5433" s="28" t="str">
        <f t="shared" si="95"/>
        <v/>
      </c>
      <c r="H5433" s="29"/>
      <c r="I5433" s="30"/>
      <c r="J5433" s="155">
        <v>0</v>
      </c>
    </row>
    <row r="5434" spans="1:10" ht="15" hidden="1" thickBot="1" x14ac:dyDescent="0.35">
      <c r="A5434" s="221"/>
      <c r="B5434" s="224"/>
      <c r="C5434" s="170"/>
      <c r="D5434" s="170"/>
      <c r="E5434" s="171"/>
      <c r="F5434" s="54" t="s">
        <v>560</v>
      </c>
      <c r="G5434" s="54" t="str">
        <f t="shared" si="95"/>
        <v/>
      </c>
      <c r="H5434" s="73"/>
      <c r="I5434" s="74"/>
      <c r="J5434" s="155">
        <v>0</v>
      </c>
    </row>
    <row r="5435" spans="1:10" ht="15" hidden="1" thickBot="1" x14ac:dyDescent="0.35">
      <c r="A5435" s="221"/>
      <c r="B5435" s="224"/>
      <c r="C5435" s="36" t="s">
        <v>1215</v>
      </c>
      <c r="D5435" s="163" t="s">
        <v>12</v>
      </c>
      <c r="E5435" s="164">
        <f>ROUND(220/(1+113.69%),4)</f>
        <v>102.9529</v>
      </c>
      <c r="F5435" s="31">
        <v>20.484999999999999</v>
      </c>
      <c r="G5435" s="54">
        <f t="shared" si="95"/>
        <v>2108.9901565</v>
      </c>
      <c r="H5435" s="39">
        <f>SUM(G5435:G5435)</f>
        <v>2108.9901565</v>
      </c>
      <c r="I5435" s="40"/>
      <c r="J5435" s="155">
        <v>0</v>
      </c>
    </row>
    <row r="5436" spans="1:10" ht="15" hidden="1" thickBot="1" x14ac:dyDescent="0.35">
      <c r="A5436" s="221"/>
      <c r="B5436" s="224"/>
      <c r="C5436" s="170"/>
      <c r="D5436" s="170"/>
      <c r="E5436" s="171"/>
      <c r="F5436" s="54" t="s">
        <v>560</v>
      </c>
      <c r="G5436" s="54" t="str">
        <f t="shared" si="95"/>
        <v/>
      </c>
      <c r="H5436" s="73"/>
      <c r="I5436" s="74"/>
      <c r="J5436" s="155">
        <v>0</v>
      </c>
    </row>
    <row r="5437" spans="1:10" ht="27" hidden="1" thickBot="1" x14ac:dyDescent="0.35">
      <c r="A5437" s="221"/>
      <c r="B5437" s="224"/>
      <c r="C5437" s="48" t="s">
        <v>822</v>
      </c>
      <c r="D5437" s="170"/>
      <c r="E5437" s="171"/>
      <c r="F5437" s="54" t="s">
        <v>560</v>
      </c>
      <c r="G5437" s="54" t="str">
        <f t="shared" si="95"/>
        <v/>
      </c>
      <c r="H5437" s="73"/>
      <c r="I5437" s="74"/>
      <c r="J5437" s="155">
        <v>0</v>
      </c>
    </row>
    <row r="5438" spans="1:10" ht="15" hidden="1" thickBot="1" x14ac:dyDescent="0.35">
      <c r="A5438" s="222"/>
      <c r="B5438" s="225"/>
      <c r="C5438" s="55"/>
      <c r="D5438" s="166"/>
      <c r="E5438" s="66"/>
      <c r="F5438" s="76" t="s">
        <v>560</v>
      </c>
      <c r="G5438" s="76" t="str">
        <f t="shared" si="95"/>
        <v/>
      </c>
      <c r="H5438" s="77"/>
      <c r="I5438" s="74"/>
      <c r="J5438" s="155">
        <v>0</v>
      </c>
    </row>
    <row r="5439" spans="1:10" ht="15" hidden="1" thickBot="1" x14ac:dyDescent="0.35">
      <c r="A5439" s="220" t="s">
        <v>2206</v>
      </c>
      <c r="B5439" s="223" t="e">
        <f>INDEX(#REF!,MATCH(Composições!A5439,#REF!,0),2)</f>
        <v>#REF!</v>
      </c>
      <c r="C5439" s="41"/>
      <c r="D5439" s="26" t="e">
        <f>TRIM(INDEX(#REF!,MATCH(Composições!A5439,#REF!,0),1))</f>
        <v>#REF!</v>
      </c>
      <c r="E5439" s="27"/>
      <c r="F5439" s="49" t="s">
        <v>560</v>
      </c>
      <c r="G5439" s="28" t="str">
        <f t="shared" si="95"/>
        <v/>
      </c>
      <c r="H5439" s="29"/>
      <c r="I5439" s="30"/>
      <c r="J5439" s="155">
        <v>0</v>
      </c>
    </row>
    <row r="5440" spans="1:10" ht="15" hidden="1" thickBot="1" x14ac:dyDescent="0.35">
      <c r="A5440" s="221"/>
      <c r="B5440" s="224"/>
      <c r="C5440" s="170"/>
      <c r="D5440" s="170"/>
      <c r="E5440" s="171"/>
      <c r="F5440" s="54" t="s">
        <v>560</v>
      </c>
      <c r="G5440" s="54" t="str">
        <f t="shared" si="95"/>
        <v/>
      </c>
      <c r="H5440" s="73"/>
      <c r="I5440" s="74"/>
      <c r="J5440" s="155">
        <v>0</v>
      </c>
    </row>
    <row r="5441" spans="1:10" ht="15" hidden="1" thickBot="1" x14ac:dyDescent="0.35">
      <c r="A5441" s="221"/>
      <c r="B5441" s="224"/>
      <c r="C5441" s="36" t="s">
        <v>1215</v>
      </c>
      <c r="D5441" s="163" t="s">
        <v>12</v>
      </c>
      <c r="E5441" s="164">
        <f>ROUND(220/(1+113.69%),4)</f>
        <v>102.9529</v>
      </c>
      <c r="F5441" s="31">
        <v>20.484999999999999</v>
      </c>
      <c r="G5441" s="54">
        <f t="shared" si="95"/>
        <v>2108.9901565</v>
      </c>
      <c r="H5441" s="39">
        <f>SUM(G5441:G5441)</f>
        <v>2108.9901565</v>
      </c>
      <c r="I5441" s="40"/>
      <c r="J5441" s="155">
        <v>0</v>
      </c>
    </row>
    <row r="5442" spans="1:10" ht="15" hidden="1" thickBot="1" x14ac:dyDescent="0.35">
      <c r="A5442" s="221"/>
      <c r="B5442" s="224"/>
      <c r="C5442" s="170"/>
      <c r="D5442" s="170"/>
      <c r="E5442" s="171"/>
      <c r="F5442" s="54" t="s">
        <v>560</v>
      </c>
      <c r="G5442" s="54" t="str">
        <f t="shared" si="95"/>
        <v/>
      </c>
      <c r="H5442" s="73"/>
      <c r="I5442" s="74"/>
      <c r="J5442" s="155">
        <v>0</v>
      </c>
    </row>
    <row r="5443" spans="1:10" ht="27" hidden="1" thickBot="1" x14ac:dyDescent="0.35">
      <c r="A5443" s="221"/>
      <c r="B5443" s="224"/>
      <c r="C5443" s="48" t="s">
        <v>822</v>
      </c>
      <c r="D5443" s="170"/>
      <c r="E5443" s="171"/>
      <c r="F5443" s="54" t="s">
        <v>560</v>
      </c>
      <c r="G5443" s="54" t="str">
        <f t="shared" si="95"/>
        <v/>
      </c>
      <c r="H5443" s="73"/>
      <c r="I5443" s="74"/>
      <c r="J5443" s="155">
        <v>0</v>
      </c>
    </row>
    <row r="5444" spans="1:10" ht="15" hidden="1" thickBot="1" x14ac:dyDescent="0.35">
      <c r="A5444" s="222"/>
      <c r="B5444" s="225"/>
      <c r="C5444" s="55"/>
      <c r="D5444" s="166"/>
      <c r="E5444" s="66"/>
      <c r="F5444" s="76" t="s">
        <v>560</v>
      </c>
      <c r="G5444" s="76" t="str">
        <f t="shared" si="95"/>
        <v/>
      </c>
      <c r="H5444" s="77"/>
      <c r="I5444" s="74"/>
      <c r="J5444" s="155">
        <v>0</v>
      </c>
    </row>
    <row r="5445" spans="1:10" ht="15" hidden="1" thickBot="1" x14ac:dyDescent="0.35">
      <c r="A5445" s="226" t="s">
        <v>2207</v>
      </c>
      <c r="B5445" s="223" t="e">
        <f>INDEX(#REF!,MATCH(Composições!A5445,#REF!,0),2)</f>
        <v>#REF!</v>
      </c>
      <c r="C5445" s="41"/>
      <c r="D5445" s="26" t="e">
        <f>TRIM(INDEX(#REF!,MATCH(Composições!A5445,#REF!,0),1))</f>
        <v>#REF!</v>
      </c>
      <c r="E5445" s="27"/>
      <c r="F5445" s="49" t="s">
        <v>560</v>
      </c>
      <c r="G5445" s="28" t="str">
        <f t="shared" si="95"/>
        <v/>
      </c>
      <c r="H5445" s="29"/>
      <c r="I5445" s="30"/>
      <c r="J5445" s="155">
        <v>0</v>
      </c>
    </row>
    <row r="5446" spans="1:10" ht="15" hidden="1" thickBot="1" x14ac:dyDescent="0.35">
      <c r="A5446" s="227"/>
      <c r="B5446" s="224"/>
      <c r="C5446" s="170"/>
      <c r="D5446" s="170"/>
      <c r="E5446" s="171"/>
      <c r="F5446" s="54" t="s">
        <v>560</v>
      </c>
      <c r="G5446" s="54" t="str">
        <f t="shared" si="95"/>
        <v/>
      </c>
      <c r="H5446" s="73"/>
      <c r="I5446" s="74"/>
      <c r="J5446" s="155">
        <v>0</v>
      </c>
    </row>
    <row r="5447" spans="1:10" ht="27" hidden="1" thickBot="1" x14ac:dyDescent="0.35">
      <c r="A5447" s="227"/>
      <c r="B5447" s="224"/>
      <c r="C5447" s="36" t="s">
        <v>1722</v>
      </c>
      <c r="D5447" s="163" t="s">
        <v>42</v>
      </c>
      <c r="E5447" s="164">
        <v>1</v>
      </c>
      <c r="F5447" s="31">
        <v>12.75</v>
      </c>
      <c r="G5447" s="54">
        <f t="shared" si="95"/>
        <v>12.75</v>
      </c>
      <c r="H5447" s="39">
        <f>SUM(G5447:G5447)</f>
        <v>12.75</v>
      </c>
      <c r="I5447" s="40"/>
      <c r="J5447" s="155">
        <v>0</v>
      </c>
    </row>
    <row r="5448" spans="1:10" ht="15" hidden="1" thickBot="1" x14ac:dyDescent="0.35">
      <c r="A5448" s="228"/>
      <c r="B5448" s="225"/>
      <c r="C5448" s="55"/>
      <c r="D5448" s="166"/>
      <c r="E5448" s="66"/>
      <c r="F5448" s="76" t="s">
        <v>560</v>
      </c>
      <c r="G5448" s="76" t="str">
        <f t="shared" si="95"/>
        <v/>
      </c>
      <c r="H5448" s="77"/>
      <c r="I5448" s="74"/>
      <c r="J5448" s="155">
        <v>0</v>
      </c>
    </row>
    <row r="5449" spans="1:10" ht="15" hidden="1" thickBot="1" x14ac:dyDescent="0.35">
      <c r="A5449" s="226" t="s">
        <v>2208</v>
      </c>
      <c r="B5449" s="223" t="e">
        <f>INDEX(#REF!,MATCH(Composições!A5449,#REF!,0),2)</f>
        <v>#REF!</v>
      </c>
      <c r="C5449" s="41"/>
      <c r="D5449" s="26" t="e">
        <f>TRIM(INDEX(#REF!,MATCH(Composições!A5449,#REF!,0),1))</f>
        <v>#REF!</v>
      </c>
      <c r="E5449" s="27"/>
      <c r="F5449" s="49" t="s">
        <v>560</v>
      </c>
      <c r="G5449" s="28" t="str">
        <f t="shared" si="95"/>
        <v/>
      </c>
      <c r="H5449" s="29"/>
      <c r="I5449" s="30"/>
      <c r="J5449" s="155">
        <v>0</v>
      </c>
    </row>
    <row r="5450" spans="1:10" ht="15" hidden="1" thickBot="1" x14ac:dyDescent="0.35">
      <c r="A5450" s="227"/>
      <c r="B5450" s="224"/>
      <c r="C5450" s="170"/>
      <c r="D5450" s="170"/>
      <c r="E5450" s="171"/>
      <c r="F5450" s="54" t="s">
        <v>560</v>
      </c>
      <c r="G5450" s="54" t="str">
        <f t="shared" si="95"/>
        <v/>
      </c>
      <c r="H5450" s="73"/>
      <c r="I5450" s="74"/>
      <c r="J5450" s="155">
        <v>0</v>
      </c>
    </row>
    <row r="5451" spans="1:10" ht="27" hidden="1" thickBot="1" x14ac:dyDescent="0.35">
      <c r="A5451" s="227"/>
      <c r="B5451" s="224"/>
      <c r="C5451" s="36" t="s">
        <v>2026</v>
      </c>
      <c r="D5451" s="163" t="s">
        <v>42</v>
      </c>
      <c r="E5451" s="164">
        <v>1</v>
      </c>
      <c r="F5451" s="31" t="s">
        <v>560</v>
      </c>
      <c r="G5451" s="54" t="str">
        <f t="shared" si="95"/>
        <v/>
      </c>
      <c r="H5451" s="39">
        <f>SUM(G5451:G5451)</f>
        <v>0</v>
      </c>
      <c r="I5451" s="40"/>
      <c r="J5451" s="155">
        <v>0</v>
      </c>
    </row>
    <row r="5452" spans="1:10" ht="15" hidden="1" thickBot="1" x14ac:dyDescent="0.35">
      <c r="A5452" s="228"/>
      <c r="B5452" s="225"/>
      <c r="C5452" s="55"/>
      <c r="D5452" s="166"/>
      <c r="E5452" s="66"/>
      <c r="F5452" s="76" t="s">
        <v>560</v>
      </c>
      <c r="G5452" s="76" t="str">
        <f t="shared" si="95"/>
        <v/>
      </c>
      <c r="H5452" s="77"/>
      <c r="I5452" s="74"/>
      <c r="J5452" s="155">
        <v>0</v>
      </c>
    </row>
    <row r="5453" spans="1:10" ht="15" hidden="1" thickBot="1" x14ac:dyDescent="0.35">
      <c r="A5453" s="226" t="s">
        <v>2209</v>
      </c>
      <c r="B5453" s="223" t="e">
        <f>INDEX(#REF!,MATCH(Composições!A5453,#REF!,0),2)</f>
        <v>#REF!</v>
      </c>
      <c r="C5453" s="41"/>
      <c r="D5453" s="26" t="e">
        <f>TRIM(INDEX(#REF!,MATCH(Composições!A5453,#REF!,0),1))</f>
        <v>#REF!</v>
      </c>
      <c r="E5453" s="27"/>
      <c r="F5453" s="49" t="s">
        <v>560</v>
      </c>
      <c r="G5453" s="28" t="str">
        <f t="shared" si="95"/>
        <v/>
      </c>
      <c r="H5453" s="29"/>
      <c r="I5453" s="30"/>
      <c r="J5453" s="155">
        <v>0</v>
      </c>
    </row>
    <row r="5454" spans="1:10" ht="15" hidden="1" thickBot="1" x14ac:dyDescent="0.35">
      <c r="A5454" s="227"/>
      <c r="B5454" s="224"/>
      <c r="C5454" s="170"/>
      <c r="D5454" s="170"/>
      <c r="E5454" s="171"/>
      <c r="F5454" s="54" t="s">
        <v>560</v>
      </c>
      <c r="G5454" s="54" t="str">
        <f t="shared" si="95"/>
        <v/>
      </c>
      <c r="H5454" s="73"/>
      <c r="I5454" s="74"/>
      <c r="J5454" s="155">
        <v>0</v>
      </c>
    </row>
    <row r="5455" spans="1:10" ht="27" hidden="1" thickBot="1" x14ac:dyDescent="0.35">
      <c r="A5455" s="227"/>
      <c r="B5455" s="224"/>
      <c r="C5455" s="36" t="s">
        <v>1736</v>
      </c>
      <c r="D5455" s="163" t="s">
        <v>20</v>
      </c>
      <c r="E5455" s="164">
        <v>1</v>
      </c>
      <c r="F5455" s="31">
        <v>5.44</v>
      </c>
      <c r="G5455" s="54">
        <f t="shared" si="95"/>
        <v>5.44</v>
      </c>
      <c r="H5455" s="39">
        <f>SUM(G5455:G5455)</f>
        <v>5.44</v>
      </c>
      <c r="I5455" s="40"/>
      <c r="J5455" s="155">
        <v>0</v>
      </c>
    </row>
    <row r="5456" spans="1:10" ht="15" hidden="1" thickBot="1" x14ac:dyDescent="0.35">
      <c r="A5456" s="228"/>
      <c r="B5456" s="225"/>
      <c r="C5456" s="55"/>
      <c r="D5456" s="166"/>
      <c r="E5456" s="66"/>
      <c r="F5456" s="76" t="s">
        <v>560</v>
      </c>
      <c r="G5456" s="76" t="str">
        <f t="shared" si="95"/>
        <v/>
      </c>
      <c r="H5456" s="77"/>
      <c r="I5456" s="74"/>
      <c r="J5456" s="155">
        <v>0</v>
      </c>
    </row>
    <row r="5457" spans="1:10" ht="15" hidden="1" thickBot="1" x14ac:dyDescent="0.35">
      <c r="A5457" s="226" t="s">
        <v>2210</v>
      </c>
      <c r="B5457" s="223" t="e">
        <f>INDEX(#REF!,MATCH(Composições!A5457,#REF!,0),2)</f>
        <v>#REF!</v>
      </c>
      <c r="C5457" s="41"/>
      <c r="D5457" s="26" t="e">
        <f>TRIM(INDEX(#REF!,MATCH(Composições!A5457,#REF!,0),1))</f>
        <v>#REF!</v>
      </c>
      <c r="E5457" s="27"/>
      <c r="F5457" s="49" t="s">
        <v>560</v>
      </c>
      <c r="G5457" s="28" t="str">
        <f t="shared" si="95"/>
        <v/>
      </c>
      <c r="H5457" s="29"/>
      <c r="I5457" s="30"/>
      <c r="J5457" s="155">
        <v>0</v>
      </c>
    </row>
    <row r="5458" spans="1:10" ht="15" hidden="1" thickBot="1" x14ac:dyDescent="0.35">
      <c r="A5458" s="227"/>
      <c r="B5458" s="224"/>
      <c r="C5458" s="170"/>
      <c r="D5458" s="170"/>
      <c r="E5458" s="171"/>
      <c r="F5458" s="54" t="s">
        <v>560</v>
      </c>
      <c r="G5458" s="54" t="str">
        <f t="shared" si="95"/>
        <v/>
      </c>
      <c r="H5458" s="73"/>
      <c r="I5458" s="74"/>
      <c r="J5458" s="155">
        <v>0</v>
      </c>
    </row>
    <row r="5459" spans="1:10" ht="27" hidden="1" thickBot="1" x14ac:dyDescent="0.35">
      <c r="A5459" s="227"/>
      <c r="B5459" s="224"/>
      <c r="C5459" s="36" t="s">
        <v>1734</v>
      </c>
      <c r="D5459" s="163" t="s">
        <v>20</v>
      </c>
      <c r="E5459" s="164">
        <v>1</v>
      </c>
      <c r="F5459" s="31">
        <v>9.1374999999999993</v>
      </c>
      <c r="G5459" s="54">
        <f t="shared" si="95"/>
        <v>9.1374999999999993</v>
      </c>
      <c r="H5459" s="39">
        <f>SUM(G5459:G5459)</f>
        <v>9.1374999999999993</v>
      </c>
      <c r="I5459" s="40"/>
      <c r="J5459" s="155">
        <v>0</v>
      </c>
    </row>
    <row r="5460" spans="1:10" ht="15" hidden="1" thickBot="1" x14ac:dyDescent="0.35">
      <c r="A5460" s="228"/>
      <c r="B5460" s="225"/>
      <c r="C5460" s="55"/>
      <c r="D5460" s="166"/>
      <c r="E5460" s="66"/>
      <c r="F5460" s="76" t="s">
        <v>560</v>
      </c>
      <c r="G5460" s="76" t="str">
        <f t="shared" si="95"/>
        <v/>
      </c>
      <c r="H5460" s="77"/>
      <c r="I5460" s="74"/>
      <c r="J5460" s="155">
        <v>0</v>
      </c>
    </row>
    <row r="5461" spans="1:10" ht="15" hidden="1" thickBot="1" x14ac:dyDescent="0.35">
      <c r="A5461" s="226" t="s">
        <v>2211</v>
      </c>
      <c r="B5461" s="223" t="e">
        <f>INDEX(#REF!,MATCH(Composições!A5461,#REF!,0),2)</f>
        <v>#REF!</v>
      </c>
      <c r="C5461" s="41"/>
      <c r="D5461" s="26" t="e">
        <f>TRIM(INDEX(#REF!,MATCH(Composições!A5461,#REF!,0),1))</f>
        <v>#REF!</v>
      </c>
      <c r="E5461" s="27"/>
      <c r="F5461" s="49" t="s">
        <v>560</v>
      </c>
      <c r="G5461" s="28" t="str">
        <f t="shared" si="95"/>
        <v/>
      </c>
      <c r="H5461" s="29"/>
      <c r="I5461" s="30"/>
      <c r="J5461" s="155">
        <v>0</v>
      </c>
    </row>
    <row r="5462" spans="1:10" ht="15" hidden="1" thickBot="1" x14ac:dyDescent="0.35">
      <c r="A5462" s="227"/>
      <c r="B5462" s="224"/>
      <c r="C5462" s="170"/>
      <c r="D5462" s="170"/>
      <c r="E5462" s="171"/>
      <c r="F5462" s="54" t="s">
        <v>560</v>
      </c>
      <c r="G5462" s="54" t="str">
        <f t="shared" si="95"/>
        <v/>
      </c>
      <c r="H5462" s="73"/>
      <c r="I5462" s="74"/>
      <c r="J5462" s="155">
        <v>0</v>
      </c>
    </row>
    <row r="5463" spans="1:10" ht="27" hidden="1" thickBot="1" x14ac:dyDescent="0.35">
      <c r="A5463" s="227"/>
      <c r="B5463" s="224"/>
      <c r="C5463" s="36" t="s">
        <v>1732</v>
      </c>
      <c r="D5463" s="163" t="s">
        <v>20</v>
      </c>
      <c r="E5463" s="164">
        <v>1</v>
      </c>
      <c r="F5463" s="31">
        <v>11.202999999999999</v>
      </c>
      <c r="G5463" s="54">
        <f t="shared" si="95"/>
        <v>11.202999999999999</v>
      </c>
      <c r="H5463" s="39">
        <f>SUM(G5463:G5463)</f>
        <v>11.202999999999999</v>
      </c>
      <c r="I5463" s="40"/>
      <c r="J5463" s="155">
        <v>0</v>
      </c>
    </row>
    <row r="5464" spans="1:10" ht="15" hidden="1" thickBot="1" x14ac:dyDescent="0.35">
      <c r="A5464" s="228"/>
      <c r="B5464" s="225"/>
      <c r="C5464" s="55"/>
      <c r="D5464" s="166"/>
      <c r="E5464" s="66"/>
      <c r="F5464" s="76" t="s">
        <v>560</v>
      </c>
      <c r="G5464" s="76" t="str">
        <f t="shared" si="95"/>
        <v/>
      </c>
      <c r="H5464" s="77"/>
      <c r="I5464" s="74"/>
      <c r="J5464" s="155">
        <v>0</v>
      </c>
    </row>
    <row r="5465" spans="1:10" ht="15" hidden="1" thickBot="1" x14ac:dyDescent="0.35">
      <c r="A5465" s="226" t="s">
        <v>2212</v>
      </c>
      <c r="B5465" s="223" t="e">
        <f>INDEX(#REF!,MATCH(Composições!A5465,#REF!,0),2)</f>
        <v>#REF!</v>
      </c>
      <c r="C5465" s="41"/>
      <c r="D5465" s="26" t="e">
        <f>TRIM(INDEX(#REF!,MATCH(Composições!A5465,#REF!,0),1))</f>
        <v>#REF!</v>
      </c>
      <c r="E5465" s="27"/>
      <c r="F5465" s="49" t="s">
        <v>560</v>
      </c>
      <c r="G5465" s="28" t="str">
        <f t="shared" si="95"/>
        <v/>
      </c>
      <c r="H5465" s="29"/>
      <c r="I5465" s="30"/>
      <c r="J5465" s="155">
        <v>0</v>
      </c>
    </row>
    <row r="5466" spans="1:10" ht="15" hidden="1" thickBot="1" x14ac:dyDescent="0.35">
      <c r="A5466" s="227"/>
      <c r="B5466" s="224"/>
      <c r="C5466" s="170"/>
      <c r="D5466" s="170"/>
      <c r="E5466" s="171"/>
      <c r="F5466" s="54" t="s">
        <v>560</v>
      </c>
      <c r="G5466" s="54" t="str">
        <f t="shared" si="95"/>
        <v/>
      </c>
      <c r="H5466" s="73"/>
      <c r="I5466" s="74"/>
      <c r="J5466" s="155">
        <v>0</v>
      </c>
    </row>
    <row r="5467" spans="1:10" ht="27" hidden="1" thickBot="1" x14ac:dyDescent="0.35">
      <c r="A5467" s="227"/>
      <c r="B5467" s="224"/>
      <c r="C5467" s="36" t="s">
        <v>1733</v>
      </c>
      <c r="D5467" s="163" t="s">
        <v>20</v>
      </c>
      <c r="E5467" s="164">
        <v>1</v>
      </c>
      <c r="F5467" s="31">
        <v>14.883500000000002</v>
      </c>
      <c r="G5467" s="54">
        <f t="shared" si="95"/>
        <v>14.883500000000002</v>
      </c>
      <c r="H5467" s="39">
        <f>SUM(G5467:G5467)</f>
        <v>14.883500000000002</v>
      </c>
      <c r="I5467" s="40"/>
      <c r="J5467" s="155">
        <v>0</v>
      </c>
    </row>
    <row r="5468" spans="1:10" ht="15" hidden="1" thickBot="1" x14ac:dyDescent="0.35">
      <c r="A5468" s="228"/>
      <c r="B5468" s="225"/>
      <c r="C5468" s="55"/>
      <c r="D5468" s="166"/>
      <c r="E5468" s="66"/>
      <c r="F5468" s="76" t="s">
        <v>560</v>
      </c>
      <c r="G5468" s="76" t="str">
        <f t="shared" si="95"/>
        <v/>
      </c>
      <c r="H5468" s="77"/>
      <c r="I5468" s="74"/>
      <c r="J5468" s="155">
        <v>0</v>
      </c>
    </row>
    <row r="5469" spans="1:10" ht="15" hidden="1" thickBot="1" x14ac:dyDescent="0.35">
      <c r="A5469" s="226" t="s">
        <v>2213</v>
      </c>
      <c r="B5469" s="223" t="e">
        <f>INDEX(#REF!,MATCH(Composições!A5469,#REF!,0),2)</f>
        <v>#REF!</v>
      </c>
      <c r="C5469" s="41"/>
      <c r="D5469" s="26" t="e">
        <f>TRIM(INDEX(#REF!,MATCH(Composições!A5469,#REF!,0),1))</f>
        <v>#REF!</v>
      </c>
      <c r="E5469" s="27"/>
      <c r="F5469" s="49" t="s">
        <v>560</v>
      </c>
      <c r="G5469" s="28" t="str">
        <f t="shared" ref="G5469:G5532" si="96">IF(ISNUMBER(F5469),E5469*F5469,"")</f>
        <v/>
      </c>
      <c r="H5469" s="29"/>
      <c r="I5469" s="30"/>
      <c r="J5469" s="155">
        <v>0</v>
      </c>
    </row>
    <row r="5470" spans="1:10" ht="15" hidden="1" thickBot="1" x14ac:dyDescent="0.35">
      <c r="A5470" s="227"/>
      <c r="B5470" s="224"/>
      <c r="C5470" s="170"/>
      <c r="D5470" s="170"/>
      <c r="E5470" s="171"/>
      <c r="F5470" s="54" t="s">
        <v>560</v>
      </c>
      <c r="G5470" s="54" t="str">
        <f t="shared" si="96"/>
        <v/>
      </c>
      <c r="H5470" s="73"/>
      <c r="I5470" s="74"/>
      <c r="J5470" s="155">
        <v>0</v>
      </c>
    </row>
    <row r="5471" spans="1:10" ht="27" hidden="1" thickBot="1" x14ac:dyDescent="0.35">
      <c r="A5471" s="227"/>
      <c r="B5471" s="224"/>
      <c r="C5471" s="36" t="s">
        <v>1735</v>
      </c>
      <c r="D5471" s="163" t="s">
        <v>20</v>
      </c>
      <c r="E5471" s="164">
        <v>1</v>
      </c>
      <c r="F5471" s="31">
        <v>21.836500000000001</v>
      </c>
      <c r="G5471" s="54">
        <f t="shared" si="96"/>
        <v>21.836500000000001</v>
      </c>
      <c r="H5471" s="39">
        <f>SUM(G5471:G5471)</f>
        <v>21.836500000000001</v>
      </c>
      <c r="I5471" s="40"/>
      <c r="J5471" s="155">
        <v>0</v>
      </c>
    </row>
    <row r="5472" spans="1:10" ht="15" hidden="1" thickBot="1" x14ac:dyDescent="0.35">
      <c r="A5472" s="228"/>
      <c r="B5472" s="225"/>
      <c r="C5472" s="55"/>
      <c r="D5472" s="166"/>
      <c r="E5472" s="66"/>
      <c r="F5472" s="76" t="s">
        <v>560</v>
      </c>
      <c r="G5472" s="76" t="str">
        <f t="shared" si="96"/>
        <v/>
      </c>
      <c r="H5472" s="77"/>
      <c r="I5472" s="74"/>
      <c r="J5472" s="155">
        <v>0</v>
      </c>
    </row>
    <row r="5473" spans="1:10" ht="15" hidden="1" thickBot="1" x14ac:dyDescent="0.35">
      <c r="A5473" s="226" t="s">
        <v>2214</v>
      </c>
      <c r="B5473" s="223" t="e">
        <f>INDEX(#REF!,MATCH(Composições!A5473,#REF!,0),2)</f>
        <v>#REF!</v>
      </c>
      <c r="C5473" s="41"/>
      <c r="D5473" s="26" t="e">
        <f>TRIM(INDEX(#REF!,MATCH(Composições!A5473,#REF!,0),1))</f>
        <v>#REF!</v>
      </c>
      <c r="E5473" s="27"/>
      <c r="F5473" s="49" t="s">
        <v>560</v>
      </c>
      <c r="G5473" s="28" t="str">
        <f t="shared" si="96"/>
        <v/>
      </c>
      <c r="H5473" s="29"/>
      <c r="I5473" s="30"/>
      <c r="J5473" s="155">
        <v>0</v>
      </c>
    </row>
    <row r="5474" spans="1:10" ht="15" hidden="1" thickBot="1" x14ac:dyDescent="0.35">
      <c r="A5474" s="227"/>
      <c r="B5474" s="224"/>
      <c r="C5474" s="170"/>
      <c r="D5474" s="170"/>
      <c r="E5474" s="171"/>
      <c r="F5474" s="54" t="s">
        <v>560</v>
      </c>
      <c r="G5474" s="54" t="str">
        <f t="shared" si="96"/>
        <v/>
      </c>
      <c r="H5474" s="73"/>
      <c r="I5474" s="74"/>
      <c r="J5474" s="155">
        <v>0</v>
      </c>
    </row>
    <row r="5475" spans="1:10" ht="27" hidden="1" thickBot="1" x14ac:dyDescent="0.35">
      <c r="A5475" s="227"/>
      <c r="B5475" s="224"/>
      <c r="C5475" s="36" t="s">
        <v>1737</v>
      </c>
      <c r="D5475" s="163" t="s">
        <v>20</v>
      </c>
      <c r="E5475" s="164">
        <v>1</v>
      </c>
      <c r="F5475" s="31">
        <v>60.647499999999994</v>
      </c>
      <c r="G5475" s="54">
        <f t="shared" si="96"/>
        <v>60.647499999999994</v>
      </c>
      <c r="H5475" s="39">
        <f>SUM(G5475:G5475)</f>
        <v>60.647499999999994</v>
      </c>
      <c r="I5475" s="40"/>
      <c r="J5475" s="155">
        <v>0</v>
      </c>
    </row>
    <row r="5476" spans="1:10" ht="15" hidden="1" thickBot="1" x14ac:dyDescent="0.35">
      <c r="A5476" s="228"/>
      <c r="B5476" s="225"/>
      <c r="C5476" s="55"/>
      <c r="D5476" s="166"/>
      <c r="E5476" s="66"/>
      <c r="F5476" s="76" t="s">
        <v>560</v>
      </c>
      <c r="G5476" s="76" t="str">
        <f t="shared" si="96"/>
        <v/>
      </c>
      <c r="H5476" s="77"/>
      <c r="I5476" s="74"/>
      <c r="J5476" s="155">
        <v>0</v>
      </c>
    </row>
    <row r="5477" spans="1:10" ht="15" hidden="1" thickBot="1" x14ac:dyDescent="0.35">
      <c r="A5477" s="226" t="s">
        <v>2215</v>
      </c>
      <c r="B5477" s="223" t="e">
        <f>INDEX(#REF!,MATCH(Composições!A5477,#REF!,0),2)</f>
        <v>#REF!</v>
      </c>
      <c r="C5477" s="41"/>
      <c r="D5477" s="26" t="e">
        <f>TRIM(INDEX(#REF!,MATCH(Composições!A5477,#REF!,0),1))</f>
        <v>#REF!</v>
      </c>
      <c r="E5477" s="27"/>
      <c r="F5477" s="49" t="s">
        <v>560</v>
      </c>
      <c r="G5477" s="28" t="str">
        <f t="shared" si="96"/>
        <v/>
      </c>
      <c r="H5477" s="29"/>
      <c r="I5477" s="30"/>
      <c r="J5477" s="155">
        <v>0</v>
      </c>
    </row>
    <row r="5478" spans="1:10" ht="15" hidden="1" thickBot="1" x14ac:dyDescent="0.35">
      <c r="A5478" s="227"/>
      <c r="B5478" s="224"/>
      <c r="C5478" s="170"/>
      <c r="D5478" s="170"/>
      <c r="E5478" s="171"/>
      <c r="F5478" s="54" t="s">
        <v>560</v>
      </c>
      <c r="G5478" s="54" t="str">
        <f t="shared" si="96"/>
        <v/>
      </c>
      <c r="H5478" s="73"/>
      <c r="I5478" s="74"/>
      <c r="J5478" s="155">
        <v>0</v>
      </c>
    </row>
    <row r="5479" spans="1:10" ht="27" hidden="1" thickBot="1" x14ac:dyDescent="0.35">
      <c r="A5479" s="227"/>
      <c r="B5479" s="224"/>
      <c r="C5479" s="36" t="s">
        <v>1731</v>
      </c>
      <c r="D5479" s="163" t="s">
        <v>20</v>
      </c>
      <c r="E5479" s="164">
        <v>1</v>
      </c>
      <c r="F5479" s="31">
        <v>111.316</v>
      </c>
      <c r="G5479" s="54">
        <f t="shared" si="96"/>
        <v>111.316</v>
      </c>
      <c r="H5479" s="39">
        <f>SUM(G5479:G5479)</f>
        <v>111.316</v>
      </c>
      <c r="I5479" s="40"/>
      <c r="J5479" s="155">
        <v>0</v>
      </c>
    </row>
    <row r="5480" spans="1:10" ht="15" hidden="1" thickBot="1" x14ac:dyDescent="0.35">
      <c r="A5480" s="228"/>
      <c r="B5480" s="225"/>
      <c r="C5480" s="55"/>
      <c r="D5480" s="166"/>
      <c r="E5480" s="66"/>
      <c r="F5480" s="76" t="s">
        <v>560</v>
      </c>
      <c r="G5480" s="76" t="str">
        <f t="shared" si="96"/>
        <v/>
      </c>
      <c r="H5480" s="77"/>
      <c r="I5480" s="74"/>
      <c r="J5480" s="155">
        <v>0</v>
      </c>
    </row>
    <row r="5481" spans="1:10" ht="15" hidden="1" thickBot="1" x14ac:dyDescent="0.35">
      <c r="A5481" s="226" t="s">
        <v>2216</v>
      </c>
      <c r="B5481" s="223" t="e">
        <f>INDEX(#REF!,MATCH(Composições!A5481,#REF!,0),2)</f>
        <v>#REF!</v>
      </c>
      <c r="C5481" s="41"/>
      <c r="D5481" s="26" t="e">
        <f>TRIM(INDEX(#REF!,MATCH(Composições!A5481,#REF!,0),1))</f>
        <v>#REF!</v>
      </c>
      <c r="E5481" s="27"/>
      <c r="F5481" s="49" t="s">
        <v>560</v>
      </c>
      <c r="G5481" s="28" t="str">
        <f t="shared" si="96"/>
        <v/>
      </c>
      <c r="H5481" s="29"/>
      <c r="I5481" s="30"/>
      <c r="J5481" s="155">
        <v>0</v>
      </c>
    </row>
    <row r="5482" spans="1:10" ht="15" hidden="1" thickBot="1" x14ac:dyDescent="0.35">
      <c r="A5482" s="227"/>
      <c r="B5482" s="224"/>
      <c r="C5482" s="170"/>
      <c r="D5482" s="170"/>
      <c r="E5482" s="171"/>
      <c r="F5482" s="54" t="s">
        <v>560</v>
      </c>
      <c r="G5482" s="54" t="str">
        <f t="shared" si="96"/>
        <v/>
      </c>
      <c r="H5482" s="73"/>
      <c r="I5482" s="74"/>
      <c r="J5482" s="155">
        <v>0</v>
      </c>
    </row>
    <row r="5483" spans="1:10" ht="15" hidden="1" thickBot="1" x14ac:dyDescent="0.35">
      <c r="A5483" s="227"/>
      <c r="B5483" s="224"/>
      <c r="C5483" s="36" t="s">
        <v>1834</v>
      </c>
      <c r="D5483" s="163" t="s">
        <v>20</v>
      </c>
      <c r="E5483" s="164">
        <v>1</v>
      </c>
      <c r="F5483" s="31">
        <v>2.669</v>
      </c>
      <c r="G5483" s="54">
        <f t="shared" si="96"/>
        <v>2.669</v>
      </c>
      <c r="H5483" s="39">
        <f>SUM(G5483:G5483)</f>
        <v>2.669</v>
      </c>
      <c r="I5483" s="40"/>
      <c r="J5483" s="155">
        <v>0</v>
      </c>
    </row>
    <row r="5484" spans="1:10" ht="15" hidden="1" thickBot="1" x14ac:dyDescent="0.35">
      <c r="A5484" s="228"/>
      <c r="B5484" s="225"/>
      <c r="C5484" s="55"/>
      <c r="D5484" s="166"/>
      <c r="E5484" s="66"/>
      <c r="F5484" s="76" t="s">
        <v>560</v>
      </c>
      <c r="G5484" s="76" t="str">
        <f t="shared" si="96"/>
        <v/>
      </c>
      <c r="H5484" s="77"/>
      <c r="I5484" s="74"/>
      <c r="J5484" s="155">
        <v>0</v>
      </c>
    </row>
    <row r="5485" spans="1:10" ht="15" hidden="1" thickBot="1" x14ac:dyDescent="0.35">
      <c r="A5485" s="226" t="s">
        <v>2217</v>
      </c>
      <c r="B5485" s="223" t="e">
        <f>INDEX(#REF!,MATCH(Composições!A5485,#REF!,0),2)</f>
        <v>#REF!</v>
      </c>
      <c r="C5485" s="41"/>
      <c r="D5485" s="26" t="e">
        <f>TRIM(INDEX(#REF!,MATCH(Composições!A5485,#REF!,0),1))</f>
        <v>#REF!</v>
      </c>
      <c r="E5485" s="27"/>
      <c r="F5485" s="49" t="s">
        <v>560</v>
      </c>
      <c r="G5485" s="28" t="str">
        <f t="shared" si="96"/>
        <v/>
      </c>
      <c r="H5485" s="29"/>
      <c r="I5485" s="30"/>
      <c r="J5485" s="155">
        <v>0</v>
      </c>
    </row>
    <row r="5486" spans="1:10" ht="15" hidden="1" thickBot="1" x14ac:dyDescent="0.35">
      <c r="A5486" s="227"/>
      <c r="B5486" s="224"/>
      <c r="C5486" s="170"/>
      <c r="D5486" s="170"/>
      <c r="E5486" s="171"/>
      <c r="F5486" s="54" t="s">
        <v>560</v>
      </c>
      <c r="G5486" s="54" t="str">
        <f t="shared" si="96"/>
        <v/>
      </c>
      <c r="H5486" s="73"/>
      <c r="I5486" s="74"/>
      <c r="J5486" s="155">
        <v>0</v>
      </c>
    </row>
    <row r="5487" spans="1:10" ht="27" hidden="1" thickBot="1" x14ac:dyDescent="0.35">
      <c r="A5487" s="227"/>
      <c r="B5487" s="224"/>
      <c r="C5487" s="36" t="s">
        <v>1847</v>
      </c>
      <c r="D5487" s="163" t="s">
        <v>20</v>
      </c>
      <c r="E5487" s="164">
        <v>1</v>
      </c>
      <c r="F5487" s="31">
        <v>2.0314999999999999</v>
      </c>
      <c r="G5487" s="54">
        <f t="shared" si="96"/>
        <v>2.0314999999999999</v>
      </c>
      <c r="H5487" s="39">
        <f>SUM(G5487:G5487)</f>
        <v>2.0314999999999999</v>
      </c>
      <c r="I5487" s="40"/>
      <c r="J5487" s="155">
        <v>0</v>
      </c>
    </row>
    <row r="5488" spans="1:10" ht="15" hidden="1" thickBot="1" x14ac:dyDescent="0.35">
      <c r="A5488" s="228"/>
      <c r="B5488" s="225"/>
      <c r="C5488" s="55"/>
      <c r="D5488" s="166"/>
      <c r="E5488" s="66"/>
      <c r="F5488" s="76" t="s">
        <v>560</v>
      </c>
      <c r="G5488" s="76" t="str">
        <f t="shared" si="96"/>
        <v/>
      </c>
      <c r="H5488" s="77"/>
      <c r="I5488" s="74"/>
      <c r="J5488" s="155">
        <v>0</v>
      </c>
    </row>
    <row r="5489" spans="1:10" ht="15" hidden="1" thickBot="1" x14ac:dyDescent="0.35">
      <c r="A5489" s="226" t="s">
        <v>2218</v>
      </c>
      <c r="B5489" s="223" t="e">
        <f>INDEX(#REF!,MATCH(Composições!A5489,#REF!,0),2)</f>
        <v>#REF!</v>
      </c>
      <c r="C5489" s="41"/>
      <c r="D5489" s="26" t="e">
        <f>TRIM(INDEX(#REF!,MATCH(Composições!A5489,#REF!,0),1))</f>
        <v>#REF!</v>
      </c>
      <c r="E5489" s="27"/>
      <c r="F5489" s="49" t="s">
        <v>560</v>
      </c>
      <c r="G5489" s="28" t="str">
        <f t="shared" si="96"/>
        <v/>
      </c>
      <c r="H5489" s="29"/>
      <c r="I5489" s="30"/>
      <c r="J5489" s="155">
        <v>0</v>
      </c>
    </row>
    <row r="5490" spans="1:10" ht="15" hidden="1" thickBot="1" x14ac:dyDescent="0.35">
      <c r="A5490" s="227"/>
      <c r="B5490" s="224"/>
      <c r="C5490" s="170"/>
      <c r="D5490" s="170"/>
      <c r="E5490" s="171"/>
      <c r="F5490" s="54" t="s">
        <v>560</v>
      </c>
      <c r="G5490" s="54" t="str">
        <f t="shared" si="96"/>
        <v/>
      </c>
      <c r="H5490" s="73"/>
      <c r="I5490" s="74"/>
      <c r="J5490" s="155">
        <v>0</v>
      </c>
    </row>
    <row r="5491" spans="1:10" ht="27" hidden="1" thickBot="1" x14ac:dyDescent="0.35">
      <c r="A5491" s="227"/>
      <c r="B5491" s="224"/>
      <c r="C5491" s="36" t="s">
        <v>1848</v>
      </c>
      <c r="D5491" s="163" t="s">
        <v>20</v>
      </c>
      <c r="E5491" s="164">
        <v>1</v>
      </c>
      <c r="F5491" s="31">
        <v>2.2949999999999999</v>
      </c>
      <c r="G5491" s="54">
        <f t="shared" si="96"/>
        <v>2.2949999999999999</v>
      </c>
      <c r="H5491" s="39">
        <f>SUM(G5491:G5491)</f>
        <v>2.2949999999999999</v>
      </c>
      <c r="I5491" s="40"/>
      <c r="J5491" s="155">
        <v>0</v>
      </c>
    </row>
    <row r="5492" spans="1:10" ht="15" hidden="1" thickBot="1" x14ac:dyDescent="0.35">
      <c r="A5492" s="228"/>
      <c r="B5492" s="225"/>
      <c r="C5492" s="55"/>
      <c r="D5492" s="166"/>
      <c r="E5492" s="66"/>
      <c r="F5492" s="76" t="s">
        <v>560</v>
      </c>
      <c r="G5492" s="76" t="str">
        <f t="shared" si="96"/>
        <v/>
      </c>
      <c r="H5492" s="77"/>
      <c r="I5492" s="74"/>
      <c r="J5492" s="155">
        <v>0</v>
      </c>
    </row>
    <row r="5493" spans="1:10" ht="15" hidden="1" thickBot="1" x14ac:dyDescent="0.35">
      <c r="A5493" s="226" t="s">
        <v>2219</v>
      </c>
      <c r="B5493" s="223" t="e">
        <f>INDEX(#REF!,MATCH(Composições!A5493,#REF!,0),2)</f>
        <v>#REF!</v>
      </c>
      <c r="C5493" s="41"/>
      <c r="D5493" s="26" t="e">
        <f>TRIM(INDEX(#REF!,MATCH(Composições!A5493,#REF!,0),1))</f>
        <v>#REF!</v>
      </c>
      <c r="E5493" s="27"/>
      <c r="F5493" s="49" t="s">
        <v>560</v>
      </c>
      <c r="G5493" s="28" t="str">
        <f t="shared" si="96"/>
        <v/>
      </c>
      <c r="H5493" s="29"/>
      <c r="I5493" s="30"/>
      <c r="J5493" s="155">
        <v>0</v>
      </c>
    </row>
    <row r="5494" spans="1:10" ht="15" hidden="1" thickBot="1" x14ac:dyDescent="0.35">
      <c r="A5494" s="227"/>
      <c r="B5494" s="224"/>
      <c r="C5494" s="170"/>
      <c r="D5494" s="170"/>
      <c r="E5494" s="171"/>
      <c r="F5494" s="54" t="s">
        <v>560</v>
      </c>
      <c r="G5494" s="54" t="str">
        <f t="shared" si="96"/>
        <v/>
      </c>
      <c r="H5494" s="73"/>
      <c r="I5494" s="74"/>
      <c r="J5494" s="155">
        <v>0</v>
      </c>
    </row>
    <row r="5495" spans="1:10" ht="27" hidden="1" thickBot="1" x14ac:dyDescent="0.35">
      <c r="A5495" s="227"/>
      <c r="B5495" s="224"/>
      <c r="C5495" s="36" t="s">
        <v>1849</v>
      </c>
      <c r="D5495" s="163" t="s">
        <v>20</v>
      </c>
      <c r="E5495" s="164">
        <v>1</v>
      </c>
      <c r="F5495" s="31">
        <v>3.9779999999999998</v>
      </c>
      <c r="G5495" s="54">
        <f t="shared" si="96"/>
        <v>3.9779999999999998</v>
      </c>
      <c r="H5495" s="39">
        <f>SUM(G5495:G5495)</f>
        <v>3.9779999999999998</v>
      </c>
      <c r="I5495" s="40"/>
      <c r="J5495" s="155">
        <v>0</v>
      </c>
    </row>
    <row r="5496" spans="1:10" ht="15" hidden="1" thickBot="1" x14ac:dyDescent="0.35">
      <c r="A5496" s="228"/>
      <c r="B5496" s="225"/>
      <c r="C5496" s="55"/>
      <c r="D5496" s="166"/>
      <c r="E5496" s="66"/>
      <c r="F5496" s="76" t="s">
        <v>560</v>
      </c>
      <c r="G5496" s="76" t="str">
        <f t="shared" si="96"/>
        <v/>
      </c>
      <c r="H5496" s="77"/>
      <c r="I5496" s="74"/>
      <c r="J5496" s="155">
        <v>0</v>
      </c>
    </row>
    <row r="5497" spans="1:10" ht="15" hidden="1" thickBot="1" x14ac:dyDescent="0.35">
      <c r="A5497" s="226" t="s">
        <v>2220</v>
      </c>
      <c r="B5497" s="223" t="e">
        <f>INDEX(#REF!,MATCH(Composições!A5497,#REF!,0),2)</f>
        <v>#REF!</v>
      </c>
      <c r="C5497" s="41"/>
      <c r="D5497" s="26" t="e">
        <f>TRIM(INDEX(#REF!,MATCH(Composições!A5497,#REF!,0),1))</f>
        <v>#REF!</v>
      </c>
      <c r="E5497" s="27"/>
      <c r="F5497" s="49" t="s">
        <v>560</v>
      </c>
      <c r="G5497" s="28" t="str">
        <f t="shared" si="96"/>
        <v/>
      </c>
      <c r="H5497" s="29"/>
      <c r="I5497" s="30"/>
      <c r="J5497" s="155">
        <v>0</v>
      </c>
    </row>
    <row r="5498" spans="1:10" ht="15" hidden="1" thickBot="1" x14ac:dyDescent="0.35">
      <c r="A5498" s="227"/>
      <c r="B5498" s="224"/>
      <c r="C5498" s="170"/>
      <c r="D5498" s="170"/>
      <c r="E5498" s="171"/>
      <c r="F5498" s="54" t="s">
        <v>560</v>
      </c>
      <c r="G5498" s="54" t="str">
        <f t="shared" si="96"/>
        <v/>
      </c>
      <c r="H5498" s="73"/>
      <c r="I5498" s="74"/>
      <c r="J5498" s="155">
        <v>0</v>
      </c>
    </row>
    <row r="5499" spans="1:10" ht="27" hidden="1" thickBot="1" x14ac:dyDescent="0.35">
      <c r="A5499" s="227"/>
      <c r="B5499" s="224"/>
      <c r="C5499" s="36" t="s">
        <v>1850</v>
      </c>
      <c r="D5499" s="163" t="s">
        <v>20</v>
      </c>
      <c r="E5499" s="164">
        <v>1</v>
      </c>
      <c r="F5499" s="31">
        <v>4.9639999999999995</v>
      </c>
      <c r="G5499" s="54">
        <f t="shared" si="96"/>
        <v>4.9639999999999995</v>
      </c>
      <c r="H5499" s="39">
        <f>SUM(G5499:G5499)</f>
        <v>4.9639999999999995</v>
      </c>
      <c r="I5499" s="40"/>
      <c r="J5499" s="155">
        <v>0</v>
      </c>
    </row>
    <row r="5500" spans="1:10" ht="15" hidden="1" thickBot="1" x14ac:dyDescent="0.35">
      <c r="A5500" s="228"/>
      <c r="B5500" s="225"/>
      <c r="C5500" s="55"/>
      <c r="D5500" s="166"/>
      <c r="E5500" s="66"/>
      <c r="F5500" s="76" t="s">
        <v>560</v>
      </c>
      <c r="G5500" s="76" t="str">
        <f t="shared" si="96"/>
        <v/>
      </c>
      <c r="H5500" s="77"/>
      <c r="I5500" s="74"/>
      <c r="J5500" s="155">
        <v>0</v>
      </c>
    </row>
    <row r="5501" spans="1:10" ht="15" hidden="1" thickBot="1" x14ac:dyDescent="0.35">
      <c r="A5501" s="226" t="s">
        <v>2221</v>
      </c>
      <c r="B5501" s="223" t="e">
        <f>INDEX(#REF!,MATCH(Composições!A5501,#REF!,0),2)</f>
        <v>#REF!</v>
      </c>
      <c r="C5501" s="41"/>
      <c r="D5501" s="26" t="e">
        <f>TRIM(INDEX(#REF!,MATCH(Composições!A5501,#REF!,0),1))</f>
        <v>#REF!</v>
      </c>
      <c r="E5501" s="27"/>
      <c r="F5501" s="49" t="s">
        <v>560</v>
      </c>
      <c r="G5501" s="28" t="str">
        <f t="shared" si="96"/>
        <v/>
      </c>
      <c r="H5501" s="29"/>
      <c r="I5501" s="30"/>
      <c r="J5501" s="155">
        <v>0</v>
      </c>
    </row>
    <row r="5502" spans="1:10" ht="15" hidden="1" thickBot="1" x14ac:dyDescent="0.35">
      <c r="A5502" s="227"/>
      <c r="B5502" s="224"/>
      <c r="C5502" s="170"/>
      <c r="D5502" s="170"/>
      <c r="E5502" s="171"/>
      <c r="F5502" s="54" t="s">
        <v>560</v>
      </c>
      <c r="G5502" s="54" t="str">
        <f t="shared" si="96"/>
        <v/>
      </c>
      <c r="H5502" s="73"/>
      <c r="I5502" s="74"/>
      <c r="J5502" s="155">
        <v>0</v>
      </c>
    </row>
    <row r="5503" spans="1:10" ht="27" hidden="1" thickBot="1" x14ac:dyDescent="0.35">
      <c r="A5503" s="227"/>
      <c r="B5503" s="224"/>
      <c r="C5503" s="36" t="s">
        <v>1851</v>
      </c>
      <c r="D5503" s="163" t="s">
        <v>20</v>
      </c>
      <c r="E5503" s="164">
        <v>1</v>
      </c>
      <c r="F5503" s="31">
        <v>6.1115000000000004</v>
      </c>
      <c r="G5503" s="54">
        <f t="shared" si="96"/>
        <v>6.1115000000000004</v>
      </c>
      <c r="H5503" s="39">
        <f>SUM(G5503:G5503)</f>
        <v>6.1115000000000004</v>
      </c>
      <c r="I5503" s="40"/>
      <c r="J5503" s="155">
        <v>0</v>
      </c>
    </row>
    <row r="5504" spans="1:10" ht="15" hidden="1" thickBot="1" x14ac:dyDescent="0.35">
      <c r="A5504" s="228"/>
      <c r="B5504" s="225"/>
      <c r="C5504" s="55"/>
      <c r="D5504" s="166"/>
      <c r="E5504" s="66"/>
      <c r="F5504" s="76" t="s">
        <v>560</v>
      </c>
      <c r="G5504" s="76" t="str">
        <f t="shared" si="96"/>
        <v/>
      </c>
      <c r="H5504" s="77"/>
      <c r="I5504" s="74"/>
      <c r="J5504" s="155">
        <v>0</v>
      </c>
    </row>
    <row r="5505" spans="1:10" ht="15" hidden="1" thickBot="1" x14ac:dyDescent="0.35">
      <c r="A5505" s="226" t="s">
        <v>2222</v>
      </c>
      <c r="B5505" s="223" t="e">
        <f>INDEX(#REF!,MATCH(Composições!A5505,#REF!,0),2)</f>
        <v>#REF!</v>
      </c>
      <c r="C5505" s="41"/>
      <c r="D5505" s="26" t="e">
        <f>TRIM(INDEX(#REF!,MATCH(Composições!A5505,#REF!,0),1))</f>
        <v>#REF!</v>
      </c>
      <c r="E5505" s="27"/>
      <c r="F5505" s="49" t="s">
        <v>560</v>
      </c>
      <c r="G5505" s="28" t="str">
        <f t="shared" si="96"/>
        <v/>
      </c>
      <c r="H5505" s="29"/>
      <c r="I5505" s="30"/>
      <c r="J5505" s="155">
        <v>0</v>
      </c>
    </row>
    <row r="5506" spans="1:10" ht="15" hidden="1" thickBot="1" x14ac:dyDescent="0.35">
      <c r="A5506" s="227"/>
      <c r="B5506" s="224"/>
      <c r="C5506" s="170"/>
      <c r="D5506" s="170"/>
      <c r="E5506" s="171"/>
      <c r="F5506" s="54" t="s">
        <v>560</v>
      </c>
      <c r="G5506" s="54" t="str">
        <f t="shared" si="96"/>
        <v/>
      </c>
      <c r="H5506" s="73"/>
      <c r="I5506" s="74"/>
      <c r="J5506" s="155">
        <v>0</v>
      </c>
    </row>
    <row r="5507" spans="1:10" ht="27" hidden="1" thickBot="1" x14ac:dyDescent="0.35">
      <c r="A5507" s="227"/>
      <c r="B5507" s="224"/>
      <c r="C5507" s="36" t="s">
        <v>1846</v>
      </c>
      <c r="D5507" s="163" t="s">
        <v>20</v>
      </c>
      <c r="E5507" s="164">
        <v>1</v>
      </c>
      <c r="F5507" s="31">
        <v>8.5934999999999988</v>
      </c>
      <c r="G5507" s="54">
        <f t="shared" si="96"/>
        <v>8.5934999999999988</v>
      </c>
      <c r="H5507" s="39">
        <f>SUM(G5507:G5507)</f>
        <v>8.5934999999999988</v>
      </c>
      <c r="I5507" s="40"/>
      <c r="J5507" s="155">
        <v>0</v>
      </c>
    </row>
    <row r="5508" spans="1:10" ht="15" hidden="1" thickBot="1" x14ac:dyDescent="0.35">
      <c r="A5508" s="228"/>
      <c r="B5508" s="225"/>
      <c r="C5508" s="55"/>
      <c r="D5508" s="166"/>
      <c r="E5508" s="66"/>
      <c r="F5508" s="76" t="s">
        <v>560</v>
      </c>
      <c r="G5508" s="76" t="str">
        <f t="shared" si="96"/>
        <v/>
      </c>
      <c r="H5508" s="77"/>
      <c r="I5508" s="74"/>
      <c r="J5508" s="155">
        <v>0</v>
      </c>
    </row>
    <row r="5509" spans="1:10" ht="15" hidden="1" thickBot="1" x14ac:dyDescent="0.35">
      <c r="A5509" s="226" t="s">
        <v>2223</v>
      </c>
      <c r="B5509" s="223" t="e">
        <f>INDEX(#REF!,MATCH(Composições!A5509,#REF!,0),2)</f>
        <v>#REF!</v>
      </c>
      <c r="C5509" s="41"/>
      <c r="D5509" s="26" t="e">
        <f>TRIM(INDEX(#REF!,MATCH(Composições!A5509,#REF!,0),1))</f>
        <v>#REF!</v>
      </c>
      <c r="E5509" s="27"/>
      <c r="F5509" s="49" t="s">
        <v>560</v>
      </c>
      <c r="G5509" s="28" t="str">
        <f t="shared" si="96"/>
        <v/>
      </c>
      <c r="H5509" s="29"/>
      <c r="I5509" s="30"/>
      <c r="J5509" s="155">
        <v>0</v>
      </c>
    </row>
    <row r="5510" spans="1:10" ht="15" hidden="1" thickBot="1" x14ac:dyDescent="0.35">
      <c r="A5510" s="227"/>
      <c r="B5510" s="224"/>
      <c r="C5510" s="170"/>
      <c r="D5510" s="170"/>
      <c r="E5510" s="171"/>
      <c r="F5510" s="54" t="s">
        <v>560</v>
      </c>
      <c r="G5510" s="54" t="str">
        <f t="shared" si="96"/>
        <v/>
      </c>
      <c r="H5510" s="73"/>
      <c r="I5510" s="74"/>
      <c r="J5510" s="155">
        <v>0</v>
      </c>
    </row>
    <row r="5511" spans="1:10" ht="27" hidden="1" thickBot="1" x14ac:dyDescent="0.35">
      <c r="A5511" s="227"/>
      <c r="B5511" s="224"/>
      <c r="C5511" s="36" t="s">
        <v>1852</v>
      </c>
      <c r="D5511" s="163" t="s">
        <v>20</v>
      </c>
      <c r="E5511" s="164">
        <v>1</v>
      </c>
      <c r="F5511" s="31">
        <v>19.337499999999999</v>
      </c>
      <c r="G5511" s="54">
        <f t="shared" si="96"/>
        <v>19.337499999999999</v>
      </c>
      <c r="H5511" s="39">
        <f>SUM(G5511:G5511)</f>
        <v>19.337499999999999</v>
      </c>
      <c r="I5511" s="40"/>
      <c r="J5511" s="155">
        <v>0</v>
      </c>
    </row>
    <row r="5512" spans="1:10" ht="15" hidden="1" thickBot="1" x14ac:dyDescent="0.35">
      <c r="A5512" s="228"/>
      <c r="B5512" s="225"/>
      <c r="C5512" s="55"/>
      <c r="D5512" s="166"/>
      <c r="E5512" s="66"/>
      <c r="F5512" s="76" t="s">
        <v>560</v>
      </c>
      <c r="G5512" s="76" t="str">
        <f t="shared" si="96"/>
        <v/>
      </c>
      <c r="H5512" s="77"/>
      <c r="I5512" s="74"/>
      <c r="J5512" s="155">
        <v>0</v>
      </c>
    </row>
    <row r="5513" spans="1:10" ht="15" hidden="1" thickBot="1" x14ac:dyDescent="0.35">
      <c r="A5513" s="226" t="s">
        <v>2224</v>
      </c>
      <c r="B5513" s="223" t="e">
        <f>INDEX(#REF!,MATCH(Composições!A5513,#REF!,0),2)</f>
        <v>#REF!</v>
      </c>
      <c r="C5513" s="41"/>
      <c r="D5513" s="26" t="e">
        <f>TRIM(INDEX(#REF!,MATCH(Composições!A5513,#REF!,0),1))</f>
        <v>#REF!</v>
      </c>
      <c r="E5513" s="27"/>
      <c r="F5513" s="49" t="s">
        <v>560</v>
      </c>
      <c r="G5513" s="28" t="str">
        <f t="shared" si="96"/>
        <v/>
      </c>
      <c r="H5513" s="29"/>
      <c r="I5513" s="30"/>
      <c r="J5513" s="155">
        <v>0</v>
      </c>
    </row>
    <row r="5514" spans="1:10" ht="15" hidden="1" thickBot="1" x14ac:dyDescent="0.35">
      <c r="A5514" s="227"/>
      <c r="B5514" s="224"/>
      <c r="C5514" s="170"/>
      <c r="D5514" s="170"/>
      <c r="E5514" s="171"/>
      <c r="F5514" s="54" t="s">
        <v>560</v>
      </c>
      <c r="G5514" s="54" t="str">
        <f t="shared" si="96"/>
        <v/>
      </c>
      <c r="H5514" s="73"/>
      <c r="I5514" s="74"/>
      <c r="J5514" s="155">
        <v>0</v>
      </c>
    </row>
    <row r="5515" spans="1:10" ht="27" hidden="1" thickBot="1" x14ac:dyDescent="0.35">
      <c r="A5515" s="227"/>
      <c r="B5515" s="224"/>
      <c r="C5515" s="36" t="s">
        <v>1853</v>
      </c>
      <c r="D5515" s="163" t="s">
        <v>20</v>
      </c>
      <c r="E5515" s="164">
        <v>1</v>
      </c>
      <c r="F5515" s="31">
        <v>21.131</v>
      </c>
      <c r="G5515" s="54">
        <f t="shared" si="96"/>
        <v>21.131</v>
      </c>
      <c r="H5515" s="39">
        <f>SUM(G5515:G5515)</f>
        <v>21.131</v>
      </c>
      <c r="I5515" s="40"/>
      <c r="J5515" s="155">
        <v>0</v>
      </c>
    </row>
    <row r="5516" spans="1:10" ht="15" hidden="1" thickBot="1" x14ac:dyDescent="0.35">
      <c r="A5516" s="228"/>
      <c r="B5516" s="225"/>
      <c r="C5516" s="55"/>
      <c r="D5516" s="166"/>
      <c r="E5516" s="66"/>
      <c r="F5516" s="76" t="s">
        <v>560</v>
      </c>
      <c r="G5516" s="76" t="str">
        <f t="shared" si="96"/>
        <v/>
      </c>
      <c r="H5516" s="77"/>
      <c r="I5516" s="74"/>
      <c r="J5516" s="155">
        <v>0</v>
      </c>
    </row>
    <row r="5517" spans="1:10" ht="15" hidden="1" thickBot="1" x14ac:dyDescent="0.35">
      <c r="A5517" s="226" t="s">
        <v>2225</v>
      </c>
      <c r="B5517" s="223" t="e">
        <f>INDEX(#REF!,MATCH(Composições!A5517,#REF!,0),2)</f>
        <v>#REF!</v>
      </c>
      <c r="C5517" s="41"/>
      <c r="D5517" s="26" t="e">
        <f>TRIM(INDEX(#REF!,MATCH(Composições!A5517,#REF!,0),1))</f>
        <v>#REF!</v>
      </c>
      <c r="E5517" s="27"/>
      <c r="F5517" s="49" t="s">
        <v>560</v>
      </c>
      <c r="G5517" s="28" t="str">
        <f t="shared" si="96"/>
        <v/>
      </c>
      <c r="H5517" s="29"/>
      <c r="I5517" s="30"/>
      <c r="J5517" s="155">
        <v>0</v>
      </c>
    </row>
    <row r="5518" spans="1:10" ht="15" hidden="1" thickBot="1" x14ac:dyDescent="0.35">
      <c r="A5518" s="227"/>
      <c r="B5518" s="224"/>
      <c r="C5518" s="170"/>
      <c r="D5518" s="170"/>
      <c r="E5518" s="171"/>
      <c r="F5518" s="54" t="s">
        <v>560</v>
      </c>
      <c r="G5518" s="54" t="str">
        <f t="shared" si="96"/>
        <v/>
      </c>
      <c r="H5518" s="73"/>
      <c r="I5518" s="74"/>
      <c r="J5518" s="155">
        <v>0</v>
      </c>
    </row>
    <row r="5519" spans="1:10" ht="27" hidden="1" thickBot="1" x14ac:dyDescent="0.35">
      <c r="A5519" s="227"/>
      <c r="B5519" s="224"/>
      <c r="C5519" s="36" t="s">
        <v>1854</v>
      </c>
      <c r="D5519" s="163" t="s">
        <v>20</v>
      </c>
      <c r="E5519" s="164">
        <v>1</v>
      </c>
      <c r="F5519" s="31">
        <v>27.888500000000001</v>
      </c>
      <c r="G5519" s="54">
        <f t="shared" si="96"/>
        <v>27.888500000000001</v>
      </c>
      <c r="H5519" s="39">
        <f>SUM(G5519:G5519)</f>
        <v>27.888500000000001</v>
      </c>
      <c r="I5519" s="40"/>
      <c r="J5519" s="155">
        <v>0</v>
      </c>
    </row>
    <row r="5520" spans="1:10" ht="15" hidden="1" thickBot="1" x14ac:dyDescent="0.35">
      <c r="A5520" s="228"/>
      <c r="B5520" s="225"/>
      <c r="C5520" s="55"/>
      <c r="D5520" s="166"/>
      <c r="E5520" s="66"/>
      <c r="F5520" s="76" t="s">
        <v>560</v>
      </c>
      <c r="G5520" s="76" t="str">
        <f t="shared" si="96"/>
        <v/>
      </c>
      <c r="H5520" s="77"/>
      <c r="I5520" s="74"/>
      <c r="J5520" s="155">
        <v>0</v>
      </c>
    </row>
    <row r="5521" spans="1:10" ht="15" hidden="1" thickBot="1" x14ac:dyDescent="0.35">
      <c r="A5521" s="226" t="s">
        <v>2226</v>
      </c>
      <c r="B5521" s="223" t="e">
        <f>INDEX(#REF!,MATCH(Composições!A5521,#REF!,0),2)</f>
        <v>#REF!</v>
      </c>
      <c r="C5521" s="41"/>
      <c r="D5521" s="26" t="e">
        <f>TRIM(INDEX(#REF!,MATCH(Composições!A5521,#REF!,0),1))</f>
        <v>#REF!</v>
      </c>
      <c r="E5521" s="27"/>
      <c r="F5521" s="49" t="s">
        <v>560</v>
      </c>
      <c r="G5521" s="28" t="str">
        <f t="shared" si="96"/>
        <v/>
      </c>
      <c r="H5521" s="29"/>
      <c r="I5521" s="30"/>
      <c r="J5521" s="155">
        <v>0</v>
      </c>
    </row>
    <row r="5522" spans="1:10" ht="15" hidden="1" thickBot="1" x14ac:dyDescent="0.35">
      <c r="A5522" s="227"/>
      <c r="B5522" s="224"/>
      <c r="C5522" s="170"/>
      <c r="D5522" s="170"/>
      <c r="E5522" s="171"/>
      <c r="F5522" s="54" t="s">
        <v>560</v>
      </c>
      <c r="G5522" s="54" t="str">
        <f t="shared" si="96"/>
        <v/>
      </c>
      <c r="H5522" s="73"/>
      <c r="I5522" s="74"/>
      <c r="J5522" s="155">
        <v>0</v>
      </c>
    </row>
    <row r="5523" spans="1:10" ht="27" hidden="1" thickBot="1" x14ac:dyDescent="0.35">
      <c r="A5523" s="227"/>
      <c r="B5523" s="224"/>
      <c r="C5523" s="36" t="s">
        <v>1855</v>
      </c>
      <c r="D5523" s="163" t="s">
        <v>20</v>
      </c>
      <c r="E5523" s="164">
        <v>1</v>
      </c>
      <c r="F5523" s="31">
        <v>40.570499999999996</v>
      </c>
      <c r="G5523" s="54">
        <f t="shared" si="96"/>
        <v>40.570499999999996</v>
      </c>
      <c r="H5523" s="39">
        <f>SUM(G5523:G5523)</f>
        <v>40.570499999999996</v>
      </c>
      <c r="I5523" s="40"/>
      <c r="J5523" s="155">
        <v>0</v>
      </c>
    </row>
    <row r="5524" spans="1:10" ht="15" hidden="1" thickBot="1" x14ac:dyDescent="0.35">
      <c r="A5524" s="228"/>
      <c r="B5524" s="225"/>
      <c r="C5524" s="55"/>
      <c r="D5524" s="166"/>
      <c r="E5524" s="66"/>
      <c r="F5524" s="76" t="s">
        <v>560</v>
      </c>
      <c r="G5524" s="76" t="str">
        <f t="shared" si="96"/>
        <v/>
      </c>
      <c r="H5524" s="77"/>
      <c r="I5524" s="74"/>
      <c r="J5524" s="155">
        <v>0</v>
      </c>
    </row>
    <row r="5525" spans="1:10" ht="15" hidden="1" thickBot="1" x14ac:dyDescent="0.35">
      <c r="A5525" s="226" t="s">
        <v>2227</v>
      </c>
      <c r="B5525" s="223" t="e">
        <f>INDEX(#REF!,MATCH(Composições!A5525,#REF!,0),2)</f>
        <v>#REF!</v>
      </c>
      <c r="C5525" s="41"/>
      <c r="D5525" s="26" t="e">
        <f>TRIM(INDEX(#REF!,MATCH(Composições!A5525,#REF!,0),1))</f>
        <v>#REF!</v>
      </c>
      <c r="E5525" s="27"/>
      <c r="F5525" s="49" t="s">
        <v>560</v>
      </c>
      <c r="G5525" s="28" t="str">
        <f t="shared" si="96"/>
        <v/>
      </c>
      <c r="H5525" s="29"/>
      <c r="I5525" s="30"/>
      <c r="J5525" s="155">
        <v>0</v>
      </c>
    </row>
    <row r="5526" spans="1:10" ht="15" hidden="1" thickBot="1" x14ac:dyDescent="0.35">
      <c r="A5526" s="227"/>
      <c r="B5526" s="224"/>
      <c r="C5526" s="170"/>
      <c r="D5526" s="170"/>
      <c r="E5526" s="171"/>
      <c r="F5526" s="54" t="s">
        <v>560</v>
      </c>
      <c r="G5526" s="54" t="str">
        <f t="shared" si="96"/>
        <v/>
      </c>
      <c r="H5526" s="73"/>
      <c r="I5526" s="74"/>
      <c r="J5526" s="155">
        <v>0</v>
      </c>
    </row>
    <row r="5527" spans="1:10" ht="15" hidden="1" thickBot="1" x14ac:dyDescent="0.35">
      <c r="A5527" s="227"/>
      <c r="B5527" s="224"/>
      <c r="C5527" s="36" t="s">
        <v>1712</v>
      </c>
      <c r="D5527" s="163" t="s">
        <v>93</v>
      </c>
      <c r="E5527" s="164">
        <v>1</v>
      </c>
      <c r="F5527" s="31">
        <v>10.709999999999999</v>
      </c>
      <c r="G5527" s="54">
        <f t="shared" si="96"/>
        <v>10.709999999999999</v>
      </c>
      <c r="H5527" s="39">
        <f>SUM(G5527:G5527)</f>
        <v>10.709999999999999</v>
      </c>
      <c r="I5527" s="40"/>
      <c r="J5527" s="155">
        <v>0</v>
      </c>
    </row>
    <row r="5528" spans="1:10" ht="15" hidden="1" thickBot="1" x14ac:dyDescent="0.35">
      <c r="A5528" s="228"/>
      <c r="B5528" s="225"/>
      <c r="C5528" s="55"/>
      <c r="D5528" s="166"/>
      <c r="E5528" s="66"/>
      <c r="F5528" s="76" t="s">
        <v>560</v>
      </c>
      <c r="G5528" s="76" t="str">
        <f t="shared" si="96"/>
        <v/>
      </c>
      <c r="H5528" s="77"/>
      <c r="I5528" s="74"/>
      <c r="J5528" s="155">
        <v>0</v>
      </c>
    </row>
    <row r="5529" spans="1:10" ht="15" hidden="1" thickBot="1" x14ac:dyDescent="0.35">
      <c r="A5529" s="226" t="s">
        <v>2228</v>
      </c>
      <c r="B5529" s="223" t="e">
        <f>INDEX(#REF!,MATCH(Composições!A5529,#REF!,0),2)</f>
        <v>#REF!</v>
      </c>
      <c r="C5529" s="41"/>
      <c r="D5529" s="26" t="e">
        <f>TRIM(INDEX(#REF!,MATCH(Composições!A5529,#REF!,0),1))</f>
        <v>#REF!</v>
      </c>
      <c r="E5529" s="27"/>
      <c r="F5529" s="49" t="s">
        <v>560</v>
      </c>
      <c r="G5529" s="28" t="str">
        <f t="shared" si="96"/>
        <v/>
      </c>
      <c r="H5529" s="29"/>
      <c r="I5529" s="30"/>
      <c r="J5529" s="155">
        <v>0</v>
      </c>
    </row>
    <row r="5530" spans="1:10" ht="15" hidden="1" thickBot="1" x14ac:dyDescent="0.35">
      <c r="A5530" s="227"/>
      <c r="B5530" s="224"/>
      <c r="C5530" s="170"/>
      <c r="D5530" s="170"/>
      <c r="E5530" s="171"/>
      <c r="F5530" s="54" t="s">
        <v>560</v>
      </c>
      <c r="G5530" s="54" t="str">
        <f t="shared" si="96"/>
        <v/>
      </c>
      <c r="H5530" s="73"/>
      <c r="I5530" s="74"/>
      <c r="J5530" s="155">
        <v>0</v>
      </c>
    </row>
    <row r="5531" spans="1:10" ht="15" hidden="1" thickBot="1" x14ac:dyDescent="0.35">
      <c r="A5531" s="227"/>
      <c r="B5531" s="224"/>
      <c r="C5531" s="36" t="s">
        <v>1713</v>
      </c>
      <c r="D5531" s="163" t="s">
        <v>93</v>
      </c>
      <c r="E5531" s="164">
        <v>1</v>
      </c>
      <c r="F5531" s="31">
        <v>16.541</v>
      </c>
      <c r="G5531" s="54">
        <f t="shared" si="96"/>
        <v>16.541</v>
      </c>
      <c r="H5531" s="39">
        <f>SUM(G5531:G5531)</f>
        <v>16.541</v>
      </c>
      <c r="I5531" s="40"/>
      <c r="J5531" s="155">
        <v>0</v>
      </c>
    </row>
    <row r="5532" spans="1:10" ht="15" hidden="1" thickBot="1" x14ac:dyDescent="0.35">
      <c r="A5532" s="228"/>
      <c r="B5532" s="225"/>
      <c r="C5532" s="55"/>
      <c r="D5532" s="166"/>
      <c r="E5532" s="66"/>
      <c r="F5532" s="76" t="s">
        <v>560</v>
      </c>
      <c r="G5532" s="76" t="str">
        <f t="shared" si="96"/>
        <v/>
      </c>
      <c r="H5532" s="77"/>
      <c r="I5532" s="74"/>
      <c r="J5532" s="155">
        <v>0</v>
      </c>
    </row>
    <row r="5533" spans="1:10" ht="15" hidden="1" thickBot="1" x14ac:dyDescent="0.35">
      <c r="A5533" s="226" t="s">
        <v>2229</v>
      </c>
      <c r="B5533" s="223" t="e">
        <f>INDEX(#REF!,MATCH(Composições!A5533,#REF!,0),2)</f>
        <v>#REF!</v>
      </c>
      <c r="C5533" s="41"/>
      <c r="D5533" s="26" t="e">
        <f>TRIM(INDEX(#REF!,MATCH(Composições!A5533,#REF!,0),1))</f>
        <v>#REF!</v>
      </c>
      <c r="E5533" s="27"/>
      <c r="F5533" s="49" t="s">
        <v>560</v>
      </c>
      <c r="G5533" s="28" t="str">
        <f t="shared" ref="G5533:G5596" si="97">IF(ISNUMBER(F5533),E5533*F5533,"")</f>
        <v/>
      </c>
      <c r="H5533" s="29"/>
      <c r="I5533" s="30"/>
      <c r="J5533" s="155">
        <v>0</v>
      </c>
    </row>
    <row r="5534" spans="1:10" ht="15" hidden="1" thickBot="1" x14ac:dyDescent="0.35">
      <c r="A5534" s="227"/>
      <c r="B5534" s="224"/>
      <c r="C5534" s="170"/>
      <c r="D5534" s="170"/>
      <c r="E5534" s="171"/>
      <c r="F5534" s="54" t="s">
        <v>560</v>
      </c>
      <c r="G5534" s="54" t="str">
        <f t="shared" si="97"/>
        <v/>
      </c>
      <c r="H5534" s="73"/>
      <c r="I5534" s="74"/>
      <c r="J5534" s="155">
        <v>0</v>
      </c>
    </row>
    <row r="5535" spans="1:10" ht="15" hidden="1" thickBot="1" x14ac:dyDescent="0.35">
      <c r="A5535" s="227"/>
      <c r="B5535" s="224"/>
      <c r="C5535" s="36" t="s">
        <v>1714</v>
      </c>
      <c r="D5535" s="163" t="s">
        <v>93</v>
      </c>
      <c r="E5535" s="164">
        <v>1</v>
      </c>
      <c r="F5535" s="31">
        <v>22.847999999999999</v>
      </c>
      <c r="G5535" s="54">
        <f t="shared" si="97"/>
        <v>22.847999999999999</v>
      </c>
      <c r="H5535" s="39">
        <f>SUM(G5535:G5535)</f>
        <v>22.847999999999999</v>
      </c>
      <c r="I5535" s="40"/>
      <c r="J5535" s="155">
        <v>0</v>
      </c>
    </row>
    <row r="5536" spans="1:10" ht="15" hidden="1" thickBot="1" x14ac:dyDescent="0.35">
      <c r="A5536" s="228"/>
      <c r="B5536" s="225"/>
      <c r="C5536" s="55"/>
      <c r="D5536" s="166"/>
      <c r="E5536" s="66"/>
      <c r="F5536" s="76" t="s">
        <v>560</v>
      </c>
      <c r="G5536" s="76" t="str">
        <f t="shared" si="97"/>
        <v/>
      </c>
      <c r="H5536" s="77"/>
      <c r="I5536" s="74"/>
      <c r="J5536" s="155">
        <v>0</v>
      </c>
    </row>
    <row r="5537" spans="1:10" ht="15" hidden="1" thickBot="1" x14ac:dyDescent="0.35">
      <c r="A5537" s="226" t="s">
        <v>2230</v>
      </c>
      <c r="B5537" s="223" t="e">
        <f>INDEX(#REF!,MATCH(Composições!A5537,#REF!,0),2)</f>
        <v>#REF!</v>
      </c>
      <c r="C5537" s="41"/>
      <c r="D5537" s="26" t="e">
        <f>TRIM(INDEX(#REF!,MATCH(Composições!A5537,#REF!,0),1))</f>
        <v>#REF!</v>
      </c>
      <c r="E5537" s="27"/>
      <c r="F5537" s="49" t="s">
        <v>560</v>
      </c>
      <c r="G5537" s="28" t="str">
        <f t="shared" si="97"/>
        <v/>
      </c>
      <c r="H5537" s="29"/>
      <c r="I5537" s="30"/>
      <c r="J5537" s="155">
        <v>0</v>
      </c>
    </row>
    <row r="5538" spans="1:10" ht="15" hidden="1" thickBot="1" x14ac:dyDescent="0.35">
      <c r="A5538" s="227"/>
      <c r="B5538" s="224"/>
      <c r="C5538" s="170"/>
      <c r="D5538" s="170"/>
      <c r="E5538" s="171"/>
      <c r="F5538" s="54" t="s">
        <v>560</v>
      </c>
      <c r="G5538" s="54" t="str">
        <f t="shared" si="97"/>
        <v/>
      </c>
      <c r="H5538" s="73"/>
      <c r="I5538" s="74"/>
      <c r="J5538" s="155">
        <v>0</v>
      </c>
    </row>
    <row r="5539" spans="1:10" ht="15" hidden="1" thickBot="1" x14ac:dyDescent="0.35">
      <c r="A5539" s="227"/>
      <c r="B5539" s="224"/>
      <c r="C5539" s="36" t="s">
        <v>1715</v>
      </c>
      <c r="D5539" s="163" t="s">
        <v>93</v>
      </c>
      <c r="E5539" s="164">
        <v>1</v>
      </c>
      <c r="F5539" s="31">
        <v>31.823999999999998</v>
      </c>
      <c r="G5539" s="54">
        <f t="shared" si="97"/>
        <v>31.823999999999998</v>
      </c>
      <c r="H5539" s="39">
        <f>SUM(G5539:G5539)</f>
        <v>31.823999999999998</v>
      </c>
      <c r="I5539" s="40"/>
      <c r="J5539" s="155">
        <v>0</v>
      </c>
    </row>
    <row r="5540" spans="1:10" ht="15" hidden="1" thickBot="1" x14ac:dyDescent="0.35">
      <c r="A5540" s="228"/>
      <c r="B5540" s="225"/>
      <c r="C5540" s="55"/>
      <c r="D5540" s="166"/>
      <c r="E5540" s="66"/>
      <c r="F5540" s="76" t="s">
        <v>560</v>
      </c>
      <c r="G5540" s="76" t="str">
        <f t="shared" si="97"/>
        <v/>
      </c>
      <c r="H5540" s="77"/>
      <c r="I5540" s="74"/>
      <c r="J5540" s="155">
        <v>0</v>
      </c>
    </row>
    <row r="5541" spans="1:10" ht="15" hidden="1" thickBot="1" x14ac:dyDescent="0.35">
      <c r="A5541" s="226" t="s">
        <v>2231</v>
      </c>
      <c r="B5541" s="223" t="e">
        <f>INDEX(#REF!,MATCH(Composições!A5541,#REF!,0),2)</f>
        <v>#REF!</v>
      </c>
      <c r="C5541" s="41"/>
      <c r="D5541" s="26" t="e">
        <f>TRIM(INDEX(#REF!,MATCH(Composições!A5541,#REF!,0),1))</f>
        <v>#REF!</v>
      </c>
      <c r="E5541" s="27"/>
      <c r="F5541" s="49" t="s">
        <v>560</v>
      </c>
      <c r="G5541" s="28" t="str">
        <f t="shared" si="97"/>
        <v/>
      </c>
      <c r="H5541" s="29"/>
      <c r="I5541" s="30"/>
      <c r="J5541" s="155">
        <v>0</v>
      </c>
    </row>
    <row r="5542" spans="1:10" ht="15" hidden="1" thickBot="1" x14ac:dyDescent="0.35">
      <c r="A5542" s="227"/>
      <c r="B5542" s="224"/>
      <c r="C5542" s="170"/>
      <c r="D5542" s="170"/>
      <c r="E5542" s="171"/>
      <c r="F5542" s="54" t="s">
        <v>560</v>
      </c>
      <c r="G5542" s="54" t="str">
        <f t="shared" si="97"/>
        <v/>
      </c>
      <c r="H5542" s="73"/>
      <c r="I5542" s="74"/>
      <c r="J5542" s="155">
        <v>0</v>
      </c>
    </row>
    <row r="5543" spans="1:10" ht="15" hidden="1" thickBot="1" x14ac:dyDescent="0.35">
      <c r="A5543" s="227"/>
      <c r="B5543" s="224"/>
      <c r="C5543" s="36" t="s">
        <v>1716</v>
      </c>
      <c r="D5543" s="163" t="s">
        <v>93</v>
      </c>
      <c r="E5543" s="164">
        <v>1</v>
      </c>
      <c r="F5543" s="31">
        <v>44.837499999999999</v>
      </c>
      <c r="G5543" s="54">
        <f t="shared" si="97"/>
        <v>44.837499999999999</v>
      </c>
      <c r="H5543" s="39">
        <f>SUM(G5543:G5543)</f>
        <v>44.837499999999999</v>
      </c>
      <c r="I5543" s="40"/>
      <c r="J5543" s="155">
        <v>0</v>
      </c>
    </row>
    <row r="5544" spans="1:10" ht="15" hidden="1" thickBot="1" x14ac:dyDescent="0.35">
      <c r="A5544" s="228"/>
      <c r="B5544" s="225"/>
      <c r="C5544" s="55"/>
      <c r="D5544" s="166"/>
      <c r="E5544" s="66"/>
      <c r="F5544" s="76" t="s">
        <v>560</v>
      </c>
      <c r="G5544" s="76" t="str">
        <f t="shared" si="97"/>
        <v/>
      </c>
      <c r="H5544" s="77"/>
      <c r="I5544" s="74"/>
      <c r="J5544" s="155">
        <v>0</v>
      </c>
    </row>
    <row r="5545" spans="1:10" ht="15" hidden="1" thickBot="1" x14ac:dyDescent="0.35">
      <c r="A5545" s="220" t="s">
        <v>2232</v>
      </c>
      <c r="B5545" s="223" t="e">
        <f>INDEX(#REF!,MATCH(Composições!A5545,#REF!,0),2)</f>
        <v>#REF!</v>
      </c>
      <c r="C5545" s="41"/>
      <c r="D5545" s="26" t="e">
        <f>TRIM(INDEX(#REF!,MATCH(Composições!A5545,#REF!,0),1))</f>
        <v>#REF!</v>
      </c>
      <c r="E5545" s="27"/>
      <c r="F5545" s="49" t="s">
        <v>560</v>
      </c>
      <c r="G5545" s="28" t="str">
        <f t="shared" si="97"/>
        <v/>
      </c>
      <c r="H5545" s="29"/>
      <c r="I5545" s="30"/>
      <c r="J5545" s="155">
        <v>0</v>
      </c>
    </row>
    <row r="5546" spans="1:10" ht="15" hidden="1" thickBot="1" x14ac:dyDescent="0.35">
      <c r="A5546" s="221"/>
      <c r="B5546" s="224"/>
      <c r="C5546" s="170"/>
      <c r="D5546" s="170"/>
      <c r="E5546" s="171"/>
      <c r="F5546" s="54" t="s">
        <v>560</v>
      </c>
      <c r="G5546" s="54" t="str">
        <f t="shared" si="97"/>
        <v/>
      </c>
      <c r="H5546" s="73"/>
      <c r="I5546" s="74"/>
      <c r="J5546" s="155">
        <v>0</v>
      </c>
    </row>
    <row r="5547" spans="1:10" ht="27" hidden="1" thickBot="1" x14ac:dyDescent="0.35">
      <c r="A5547" s="221"/>
      <c r="B5547" s="224"/>
      <c r="C5547" s="36" t="s">
        <v>2357</v>
      </c>
      <c r="D5547" s="163" t="s">
        <v>93</v>
      </c>
      <c r="E5547" s="164">
        <v>1</v>
      </c>
      <c r="F5547" s="31">
        <v>0</v>
      </c>
      <c r="G5547" s="54">
        <f t="shared" si="97"/>
        <v>0</v>
      </c>
      <c r="H5547" s="39">
        <f>SUM(G5547:G5547)</f>
        <v>0</v>
      </c>
      <c r="I5547" s="40"/>
      <c r="J5547" s="155">
        <v>0</v>
      </c>
    </row>
    <row r="5548" spans="1:10" ht="15" hidden="1" thickBot="1" x14ac:dyDescent="0.35">
      <c r="A5548" s="222"/>
      <c r="B5548" s="225"/>
      <c r="C5548" s="55"/>
      <c r="D5548" s="166"/>
      <c r="E5548" s="66"/>
      <c r="F5548" s="76" t="s">
        <v>560</v>
      </c>
      <c r="G5548" s="76" t="str">
        <f t="shared" si="97"/>
        <v/>
      </c>
      <c r="H5548" s="77"/>
      <c r="I5548" s="74"/>
      <c r="J5548" s="155">
        <v>0</v>
      </c>
    </row>
    <row r="5549" spans="1:10" ht="15" hidden="1" thickBot="1" x14ac:dyDescent="0.35">
      <c r="A5549" s="220" t="s">
        <v>2233</v>
      </c>
      <c r="B5549" s="223" t="e">
        <f>INDEX(#REF!,MATCH(Composições!A5549,#REF!,0),2)</f>
        <v>#REF!</v>
      </c>
      <c r="C5549" s="41"/>
      <c r="D5549" s="26" t="e">
        <f>TRIM(INDEX(#REF!,MATCH(Composições!A5549,#REF!,0),1))</f>
        <v>#REF!</v>
      </c>
      <c r="E5549" s="27"/>
      <c r="F5549" s="49" t="s">
        <v>560</v>
      </c>
      <c r="G5549" s="28" t="str">
        <f t="shared" si="97"/>
        <v/>
      </c>
      <c r="H5549" s="29"/>
      <c r="I5549" s="30"/>
      <c r="J5549" s="155">
        <v>0</v>
      </c>
    </row>
    <row r="5550" spans="1:10" ht="15" hidden="1" thickBot="1" x14ac:dyDescent="0.35">
      <c r="A5550" s="221"/>
      <c r="B5550" s="224"/>
      <c r="C5550" s="170"/>
      <c r="D5550" s="170"/>
      <c r="E5550" s="171"/>
      <c r="F5550" s="54" t="s">
        <v>560</v>
      </c>
      <c r="G5550" s="54" t="str">
        <f t="shared" si="97"/>
        <v/>
      </c>
      <c r="H5550" s="73"/>
      <c r="I5550" s="74"/>
      <c r="J5550" s="155">
        <v>0</v>
      </c>
    </row>
    <row r="5551" spans="1:10" ht="27" hidden="1" thickBot="1" x14ac:dyDescent="0.35">
      <c r="A5551" s="221"/>
      <c r="B5551" s="224"/>
      <c r="C5551" s="36" t="s">
        <v>2358</v>
      </c>
      <c r="D5551" s="163" t="s">
        <v>93</v>
      </c>
      <c r="E5551" s="164">
        <v>1</v>
      </c>
      <c r="F5551" s="31">
        <v>0</v>
      </c>
      <c r="G5551" s="54">
        <f t="shared" si="97"/>
        <v>0</v>
      </c>
      <c r="H5551" s="39">
        <f>SUM(G5551:G5551)</f>
        <v>0</v>
      </c>
      <c r="I5551" s="40"/>
      <c r="J5551" s="155">
        <v>0</v>
      </c>
    </row>
    <row r="5552" spans="1:10" ht="15" hidden="1" thickBot="1" x14ac:dyDescent="0.35">
      <c r="A5552" s="222"/>
      <c r="B5552" s="225"/>
      <c r="C5552" s="55"/>
      <c r="D5552" s="166"/>
      <c r="E5552" s="66"/>
      <c r="F5552" s="76" t="s">
        <v>560</v>
      </c>
      <c r="G5552" s="76" t="str">
        <f t="shared" si="97"/>
        <v/>
      </c>
      <c r="H5552" s="77"/>
      <c r="I5552" s="74"/>
      <c r="J5552" s="155">
        <v>0</v>
      </c>
    </row>
    <row r="5553" spans="1:10" ht="15" hidden="1" thickBot="1" x14ac:dyDescent="0.35">
      <c r="A5553" s="220" t="s">
        <v>2234</v>
      </c>
      <c r="B5553" s="223" t="e">
        <f>INDEX(#REF!,MATCH(Composições!A5553,#REF!,0),2)</f>
        <v>#REF!</v>
      </c>
      <c r="C5553" s="41"/>
      <c r="D5553" s="26" t="e">
        <f>TRIM(INDEX(#REF!,MATCH(Composições!A5553,#REF!,0),1))</f>
        <v>#REF!</v>
      </c>
      <c r="E5553" s="27"/>
      <c r="F5553" s="49" t="s">
        <v>560</v>
      </c>
      <c r="G5553" s="28" t="str">
        <f t="shared" si="97"/>
        <v/>
      </c>
      <c r="H5553" s="29"/>
      <c r="I5553" s="30"/>
      <c r="J5553" s="155">
        <v>0</v>
      </c>
    </row>
    <row r="5554" spans="1:10" ht="15" hidden="1" thickBot="1" x14ac:dyDescent="0.35">
      <c r="A5554" s="221"/>
      <c r="B5554" s="224"/>
      <c r="C5554" s="170"/>
      <c r="D5554" s="170"/>
      <c r="E5554" s="171"/>
      <c r="F5554" s="54" t="s">
        <v>560</v>
      </c>
      <c r="G5554" s="54" t="str">
        <f t="shared" si="97"/>
        <v/>
      </c>
      <c r="H5554" s="73"/>
      <c r="I5554" s="74"/>
      <c r="J5554" s="155">
        <v>0</v>
      </c>
    </row>
    <row r="5555" spans="1:10" ht="27" hidden="1" thickBot="1" x14ac:dyDescent="0.35">
      <c r="A5555" s="221"/>
      <c r="B5555" s="224"/>
      <c r="C5555" s="36" t="s">
        <v>2359</v>
      </c>
      <c r="D5555" s="163" t="s">
        <v>93</v>
      </c>
      <c r="E5555" s="164">
        <v>1</v>
      </c>
      <c r="F5555" s="31">
        <v>0</v>
      </c>
      <c r="G5555" s="54">
        <f t="shared" si="97"/>
        <v>0</v>
      </c>
      <c r="H5555" s="39">
        <f>SUM(G5555:G5555)</f>
        <v>0</v>
      </c>
      <c r="I5555" s="40"/>
      <c r="J5555" s="155">
        <v>0</v>
      </c>
    </row>
    <row r="5556" spans="1:10" ht="15" hidden="1" thickBot="1" x14ac:dyDescent="0.35">
      <c r="A5556" s="222"/>
      <c r="B5556" s="225"/>
      <c r="C5556" s="55"/>
      <c r="D5556" s="166"/>
      <c r="E5556" s="66"/>
      <c r="F5556" s="76" t="s">
        <v>560</v>
      </c>
      <c r="G5556" s="76" t="str">
        <f t="shared" si="97"/>
        <v/>
      </c>
      <c r="H5556" s="77"/>
      <c r="I5556" s="74"/>
      <c r="J5556" s="155">
        <v>0</v>
      </c>
    </row>
    <row r="5557" spans="1:10" ht="15" hidden="1" thickBot="1" x14ac:dyDescent="0.35">
      <c r="A5557" s="220" t="s">
        <v>2235</v>
      </c>
      <c r="B5557" s="223" t="e">
        <f>INDEX(#REF!,MATCH(Composições!A5557,#REF!,0),2)</f>
        <v>#REF!</v>
      </c>
      <c r="C5557" s="41"/>
      <c r="D5557" s="26" t="e">
        <f>TRIM(INDEX(#REF!,MATCH(Composições!A5557,#REF!,0),1))</f>
        <v>#REF!</v>
      </c>
      <c r="E5557" s="27"/>
      <c r="F5557" s="49" t="s">
        <v>560</v>
      </c>
      <c r="G5557" s="28" t="str">
        <f t="shared" si="97"/>
        <v/>
      </c>
      <c r="H5557" s="29"/>
      <c r="I5557" s="30"/>
      <c r="J5557" s="155">
        <v>0</v>
      </c>
    </row>
    <row r="5558" spans="1:10" ht="15" hidden="1" thickBot="1" x14ac:dyDescent="0.35">
      <c r="A5558" s="221"/>
      <c r="B5558" s="224"/>
      <c r="C5558" s="170"/>
      <c r="D5558" s="170"/>
      <c r="E5558" s="171"/>
      <c r="F5558" s="54" t="s">
        <v>560</v>
      </c>
      <c r="G5558" s="54" t="str">
        <f t="shared" si="97"/>
        <v/>
      </c>
      <c r="H5558" s="73"/>
      <c r="I5558" s="74"/>
      <c r="J5558" s="155">
        <v>0</v>
      </c>
    </row>
    <row r="5559" spans="1:10" ht="27" hidden="1" thickBot="1" x14ac:dyDescent="0.35">
      <c r="A5559" s="221"/>
      <c r="B5559" s="224"/>
      <c r="C5559" s="36" t="s">
        <v>2360</v>
      </c>
      <c r="D5559" s="163" t="s">
        <v>93</v>
      </c>
      <c r="E5559" s="164">
        <v>1</v>
      </c>
      <c r="F5559" s="31">
        <v>0</v>
      </c>
      <c r="G5559" s="54">
        <f t="shared" si="97"/>
        <v>0</v>
      </c>
      <c r="H5559" s="39">
        <f>SUM(G5559:G5559)</f>
        <v>0</v>
      </c>
      <c r="I5559" s="40"/>
      <c r="J5559" s="155">
        <v>0</v>
      </c>
    </row>
    <row r="5560" spans="1:10" ht="15" hidden="1" thickBot="1" x14ac:dyDescent="0.35">
      <c r="A5560" s="222"/>
      <c r="B5560" s="225"/>
      <c r="C5560" s="55"/>
      <c r="D5560" s="166"/>
      <c r="E5560" s="66"/>
      <c r="F5560" s="76" t="s">
        <v>560</v>
      </c>
      <c r="G5560" s="76" t="str">
        <f t="shared" si="97"/>
        <v/>
      </c>
      <c r="H5560" s="77"/>
      <c r="I5560" s="74"/>
      <c r="J5560" s="155">
        <v>0</v>
      </c>
    </row>
    <row r="5561" spans="1:10" ht="15" hidden="1" thickBot="1" x14ac:dyDescent="0.35">
      <c r="A5561" s="220" t="s">
        <v>2236</v>
      </c>
      <c r="B5561" s="223" t="e">
        <f>INDEX(#REF!,MATCH(Composições!A5561,#REF!,0),2)</f>
        <v>#REF!</v>
      </c>
      <c r="C5561" s="41"/>
      <c r="D5561" s="26" t="e">
        <f>TRIM(INDEX(#REF!,MATCH(Composições!A5561,#REF!,0),1))</f>
        <v>#REF!</v>
      </c>
      <c r="E5561" s="27"/>
      <c r="F5561" s="49" t="s">
        <v>560</v>
      </c>
      <c r="G5561" s="28" t="str">
        <f t="shared" si="97"/>
        <v/>
      </c>
      <c r="H5561" s="29"/>
      <c r="I5561" s="30"/>
      <c r="J5561" s="155">
        <v>0</v>
      </c>
    </row>
    <row r="5562" spans="1:10" ht="15" hidden="1" thickBot="1" x14ac:dyDescent="0.35">
      <c r="A5562" s="221"/>
      <c r="B5562" s="224"/>
      <c r="C5562" s="170"/>
      <c r="D5562" s="170"/>
      <c r="E5562" s="171"/>
      <c r="F5562" s="54" t="s">
        <v>560</v>
      </c>
      <c r="G5562" s="54" t="str">
        <f t="shared" si="97"/>
        <v/>
      </c>
      <c r="H5562" s="73"/>
      <c r="I5562" s="74"/>
      <c r="J5562" s="155">
        <v>0</v>
      </c>
    </row>
    <row r="5563" spans="1:10" ht="27" hidden="1" thickBot="1" x14ac:dyDescent="0.35">
      <c r="A5563" s="221"/>
      <c r="B5563" s="224"/>
      <c r="C5563" s="36" t="s">
        <v>2361</v>
      </c>
      <c r="D5563" s="163" t="s">
        <v>93</v>
      </c>
      <c r="E5563" s="164">
        <v>1</v>
      </c>
      <c r="F5563" s="31">
        <v>0</v>
      </c>
      <c r="G5563" s="54">
        <f t="shared" si="97"/>
        <v>0</v>
      </c>
      <c r="H5563" s="39">
        <f>SUM(G5563:G5563)</f>
        <v>0</v>
      </c>
      <c r="I5563" s="40"/>
      <c r="J5563" s="155">
        <v>0</v>
      </c>
    </row>
    <row r="5564" spans="1:10" ht="15" hidden="1" thickBot="1" x14ac:dyDescent="0.35">
      <c r="A5564" s="222"/>
      <c r="B5564" s="225"/>
      <c r="C5564" s="55"/>
      <c r="D5564" s="166"/>
      <c r="E5564" s="66"/>
      <c r="F5564" s="76" t="s">
        <v>560</v>
      </c>
      <c r="G5564" s="76" t="str">
        <f t="shared" si="97"/>
        <v/>
      </c>
      <c r="H5564" s="77"/>
      <c r="I5564" s="74"/>
      <c r="J5564" s="155">
        <v>0</v>
      </c>
    </row>
    <row r="5565" spans="1:10" ht="15" hidden="1" thickBot="1" x14ac:dyDescent="0.35">
      <c r="A5565" s="220" t="s">
        <v>2237</v>
      </c>
      <c r="B5565" s="223" t="e">
        <f>INDEX(#REF!,MATCH(Composições!A5565,#REF!,0),2)</f>
        <v>#REF!</v>
      </c>
      <c r="C5565" s="41"/>
      <c r="D5565" s="26" t="e">
        <f>TRIM(INDEX(#REF!,MATCH(Composições!A5565,#REF!,0),1))</f>
        <v>#REF!</v>
      </c>
      <c r="E5565" s="27"/>
      <c r="F5565" s="49" t="s">
        <v>560</v>
      </c>
      <c r="G5565" s="28" t="str">
        <f t="shared" si="97"/>
        <v/>
      </c>
      <c r="H5565" s="29"/>
      <c r="I5565" s="30"/>
      <c r="J5565" s="155">
        <v>0</v>
      </c>
    </row>
    <row r="5566" spans="1:10" ht="15" hidden="1" thickBot="1" x14ac:dyDescent="0.35">
      <c r="A5566" s="221"/>
      <c r="B5566" s="224"/>
      <c r="C5566" s="170"/>
      <c r="D5566" s="170"/>
      <c r="E5566" s="171"/>
      <c r="F5566" s="54" t="s">
        <v>560</v>
      </c>
      <c r="G5566" s="54" t="str">
        <f t="shared" si="97"/>
        <v/>
      </c>
      <c r="H5566" s="73"/>
      <c r="I5566" s="74"/>
      <c r="J5566" s="155">
        <v>0</v>
      </c>
    </row>
    <row r="5567" spans="1:10" ht="27" hidden="1" thickBot="1" x14ac:dyDescent="0.35">
      <c r="A5567" s="221"/>
      <c r="B5567" s="224"/>
      <c r="C5567" s="36" t="s">
        <v>2362</v>
      </c>
      <c r="D5567" s="163" t="s">
        <v>93</v>
      </c>
      <c r="E5567" s="164">
        <v>1</v>
      </c>
      <c r="F5567" s="31">
        <v>0</v>
      </c>
      <c r="G5567" s="54">
        <f t="shared" si="97"/>
        <v>0</v>
      </c>
      <c r="H5567" s="39">
        <f>SUM(G5567:G5567)</f>
        <v>0</v>
      </c>
      <c r="I5567" s="40"/>
      <c r="J5567" s="155">
        <v>0</v>
      </c>
    </row>
    <row r="5568" spans="1:10" ht="15" hidden="1" thickBot="1" x14ac:dyDescent="0.35">
      <c r="A5568" s="222"/>
      <c r="B5568" s="225"/>
      <c r="C5568" s="55"/>
      <c r="D5568" s="166"/>
      <c r="E5568" s="66"/>
      <c r="F5568" s="76" t="s">
        <v>560</v>
      </c>
      <c r="G5568" s="76" t="str">
        <f t="shared" si="97"/>
        <v/>
      </c>
      <c r="H5568" s="77"/>
      <c r="I5568" s="74"/>
      <c r="J5568" s="155">
        <v>0</v>
      </c>
    </row>
    <row r="5569" spans="1:10" ht="15" hidden="1" thickBot="1" x14ac:dyDescent="0.35">
      <c r="A5569" s="220" t="s">
        <v>2238</v>
      </c>
      <c r="B5569" s="223" t="e">
        <f>INDEX(#REF!,MATCH(Composições!A5569,#REF!,0),2)</f>
        <v>#REF!</v>
      </c>
      <c r="C5569" s="41"/>
      <c r="D5569" s="26" t="e">
        <f>TRIM(INDEX(#REF!,MATCH(Composições!A5569,#REF!,0),1))</f>
        <v>#REF!</v>
      </c>
      <c r="E5569" s="27"/>
      <c r="F5569" s="49" t="s">
        <v>560</v>
      </c>
      <c r="G5569" s="28" t="str">
        <f t="shared" si="97"/>
        <v/>
      </c>
      <c r="H5569" s="29"/>
      <c r="I5569" s="30"/>
      <c r="J5569" s="155">
        <v>0</v>
      </c>
    </row>
    <row r="5570" spans="1:10" ht="15" hidden="1" thickBot="1" x14ac:dyDescent="0.35">
      <c r="A5570" s="221"/>
      <c r="B5570" s="224"/>
      <c r="C5570" s="170"/>
      <c r="D5570" s="170"/>
      <c r="E5570" s="171"/>
      <c r="F5570" s="54" t="s">
        <v>560</v>
      </c>
      <c r="G5570" s="54" t="str">
        <f t="shared" si="97"/>
        <v/>
      </c>
      <c r="H5570" s="73"/>
      <c r="I5570" s="74"/>
      <c r="J5570" s="155">
        <v>0</v>
      </c>
    </row>
    <row r="5571" spans="1:10" ht="27" hidden="1" thickBot="1" x14ac:dyDescent="0.35">
      <c r="A5571" s="221"/>
      <c r="B5571" s="224"/>
      <c r="C5571" s="36" t="s">
        <v>2363</v>
      </c>
      <c r="D5571" s="163" t="s">
        <v>93</v>
      </c>
      <c r="E5571" s="164">
        <v>1</v>
      </c>
      <c r="F5571" s="31">
        <v>0</v>
      </c>
      <c r="G5571" s="54">
        <f t="shared" si="97"/>
        <v>0</v>
      </c>
      <c r="H5571" s="39">
        <f>SUM(G5571:G5571)</f>
        <v>0</v>
      </c>
      <c r="I5571" s="40"/>
      <c r="J5571" s="155">
        <v>0</v>
      </c>
    </row>
    <row r="5572" spans="1:10" ht="15" hidden="1" thickBot="1" x14ac:dyDescent="0.35">
      <c r="A5572" s="222"/>
      <c r="B5572" s="225"/>
      <c r="C5572" s="55"/>
      <c r="D5572" s="166"/>
      <c r="E5572" s="66"/>
      <c r="F5572" s="76" t="s">
        <v>560</v>
      </c>
      <c r="G5572" s="76" t="str">
        <f t="shared" si="97"/>
        <v/>
      </c>
      <c r="H5572" s="77"/>
      <c r="I5572" s="74"/>
      <c r="J5572" s="155">
        <v>0</v>
      </c>
    </row>
    <row r="5573" spans="1:10" ht="15" hidden="1" thickBot="1" x14ac:dyDescent="0.35">
      <c r="A5573" s="220" t="s">
        <v>2239</v>
      </c>
      <c r="B5573" s="223" t="e">
        <f>INDEX(#REF!,MATCH(Composições!A5573,#REF!,0),2)</f>
        <v>#REF!</v>
      </c>
      <c r="C5573" s="41"/>
      <c r="D5573" s="26" t="e">
        <f>TRIM(INDEX(#REF!,MATCH(Composições!A5573,#REF!,0),1))</f>
        <v>#REF!</v>
      </c>
      <c r="E5573" s="27"/>
      <c r="F5573" s="49" t="s">
        <v>560</v>
      </c>
      <c r="G5573" s="28" t="str">
        <f t="shared" si="97"/>
        <v/>
      </c>
      <c r="H5573" s="29"/>
      <c r="I5573" s="30"/>
      <c r="J5573" s="155">
        <v>0</v>
      </c>
    </row>
    <row r="5574" spans="1:10" ht="15" hidden="1" thickBot="1" x14ac:dyDescent="0.35">
      <c r="A5574" s="221"/>
      <c r="B5574" s="224"/>
      <c r="C5574" s="170"/>
      <c r="D5574" s="170"/>
      <c r="E5574" s="171"/>
      <c r="F5574" s="54" t="s">
        <v>560</v>
      </c>
      <c r="G5574" s="54" t="str">
        <f t="shared" si="97"/>
        <v/>
      </c>
      <c r="H5574" s="73"/>
      <c r="I5574" s="74"/>
      <c r="J5574" s="155">
        <v>0</v>
      </c>
    </row>
    <row r="5575" spans="1:10" ht="27" hidden="1" thickBot="1" x14ac:dyDescent="0.35">
      <c r="A5575" s="221"/>
      <c r="B5575" s="224"/>
      <c r="C5575" s="36" t="s">
        <v>2364</v>
      </c>
      <c r="D5575" s="163" t="s">
        <v>147</v>
      </c>
      <c r="E5575" s="164">
        <v>1</v>
      </c>
      <c r="F5575" s="31">
        <v>0</v>
      </c>
      <c r="G5575" s="54">
        <f t="shared" si="97"/>
        <v>0</v>
      </c>
      <c r="H5575" s="39">
        <f>SUM(G5575:G5575)</f>
        <v>0</v>
      </c>
      <c r="I5575" s="40"/>
      <c r="J5575" s="155">
        <v>0</v>
      </c>
    </row>
    <row r="5576" spans="1:10" ht="15" hidden="1" thickBot="1" x14ac:dyDescent="0.35">
      <c r="A5576" s="222"/>
      <c r="B5576" s="225"/>
      <c r="C5576" s="55"/>
      <c r="D5576" s="166"/>
      <c r="E5576" s="66"/>
      <c r="F5576" s="76" t="s">
        <v>560</v>
      </c>
      <c r="G5576" s="76" t="str">
        <f t="shared" si="97"/>
        <v/>
      </c>
      <c r="H5576" s="77"/>
      <c r="I5576" s="74"/>
      <c r="J5576" s="155">
        <v>0</v>
      </c>
    </row>
    <row r="5577" spans="1:10" ht="15" hidden="1" thickBot="1" x14ac:dyDescent="0.35">
      <c r="A5577" s="220" t="s">
        <v>2240</v>
      </c>
      <c r="B5577" s="223" t="e">
        <f>INDEX(#REF!,MATCH(Composições!A5577,#REF!,0),2)</f>
        <v>#REF!</v>
      </c>
      <c r="C5577" s="41"/>
      <c r="D5577" s="26" t="e">
        <f>TRIM(INDEX(#REF!,MATCH(Composições!A5577,#REF!,0),1))</f>
        <v>#REF!</v>
      </c>
      <c r="E5577" s="27"/>
      <c r="F5577" s="49" t="s">
        <v>560</v>
      </c>
      <c r="G5577" s="28" t="str">
        <f t="shared" si="97"/>
        <v/>
      </c>
      <c r="H5577" s="29"/>
      <c r="I5577" s="30"/>
      <c r="J5577" s="155">
        <v>0</v>
      </c>
    </row>
    <row r="5578" spans="1:10" ht="15" hidden="1" thickBot="1" x14ac:dyDescent="0.35">
      <c r="A5578" s="221"/>
      <c r="B5578" s="224"/>
      <c r="C5578" s="170"/>
      <c r="D5578" s="170"/>
      <c r="E5578" s="171"/>
      <c r="F5578" s="54" t="s">
        <v>560</v>
      </c>
      <c r="G5578" s="54" t="str">
        <f t="shared" si="97"/>
        <v/>
      </c>
      <c r="H5578" s="73"/>
      <c r="I5578" s="74"/>
      <c r="J5578" s="155">
        <v>0</v>
      </c>
    </row>
    <row r="5579" spans="1:10" ht="27" hidden="1" thickBot="1" x14ac:dyDescent="0.35">
      <c r="A5579" s="221"/>
      <c r="B5579" s="224"/>
      <c r="C5579" s="36" t="s">
        <v>1804</v>
      </c>
      <c r="D5579" s="163" t="s">
        <v>20</v>
      </c>
      <c r="E5579" s="164">
        <v>1</v>
      </c>
      <c r="F5579" s="31">
        <v>1.4195</v>
      </c>
      <c r="G5579" s="54">
        <f t="shared" si="97"/>
        <v>1.4195</v>
      </c>
      <c r="H5579" s="39">
        <f>SUM(G5579:G5579)</f>
        <v>1.4195</v>
      </c>
      <c r="I5579" s="40"/>
      <c r="J5579" s="155">
        <v>0</v>
      </c>
    </row>
    <row r="5580" spans="1:10" ht="15" hidden="1" thickBot="1" x14ac:dyDescent="0.35">
      <c r="A5580" s="222"/>
      <c r="B5580" s="225"/>
      <c r="C5580" s="55"/>
      <c r="D5580" s="166"/>
      <c r="E5580" s="66"/>
      <c r="F5580" s="76" t="s">
        <v>560</v>
      </c>
      <c r="G5580" s="76" t="str">
        <f t="shared" si="97"/>
        <v/>
      </c>
      <c r="H5580" s="77"/>
      <c r="I5580" s="74"/>
      <c r="J5580" s="155">
        <v>0</v>
      </c>
    </row>
    <row r="5581" spans="1:10" ht="15" hidden="1" thickBot="1" x14ac:dyDescent="0.35">
      <c r="A5581" s="226" t="s">
        <v>2241</v>
      </c>
      <c r="B5581" s="223" t="e">
        <f>INDEX(#REF!,MATCH(Composições!A5581,#REF!,0),2)</f>
        <v>#REF!</v>
      </c>
      <c r="C5581" s="41"/>
      <c r="D5581" s="26" t="e">
        <f>TRIM(INDEX(#REF!,MATCH(Composições!A5581,#REF!,0),1))</f>
        <v>#REF!</v>
      </c>
      <c r="E5581" s="27"/>
      <c r="F5581" s="49" t="s">
        <v>560</v>
      </c>
      <c r="G5581" s="28" t="str">
        <f t="shared" si="97"/>
        <v/>
      </c>
      <c r="H5581" s="29"/>
      <c r="I5581" s="30"/>
      <c r="J5581" s="155">
        <v>0</v>
      </c>
    </row>
    <row r="5582" spans="1:10" ht="15" hidden="1" thickBot="1" x14ac:dyDescent="0.35">
      <c r="A5582" s="227"/>
      <c r="B5582" s="224"/>
      <c r="C5582" s="170"/>
      <c r="D5582" s="170"/>
      <c r="E5582" s="171"/>
      <c r="F5582" s="54" t="s">
        <v>560</v>
      </c>
      <c r="G5582" s="54" t="str">
        <f t="shared" si="97"/>
        <v/>
      </c>
      <c r="H5582" s="73"/>
      <c r="I5582" s="74"/>
      <c r="J5582" s="155">
        <v>0</v>
      </c>
    </row>
    <row r="5583" spans="1:10" ht="27" hidden="1" thickBot="1" x14ac:dyDescent="0.35">
      <c r="A5583" s="227"/>
      <c r="B5583" s="224"/>
      <c r="C5583" s="36" t="s">
        <v>1762</v>
      </c>
      <c r="D5583" s="163" t="s">
        <v>20</v>
      </c>
      <c r="E5583" s="164">
        <v>1</v>
      </c>
      <c r="F5583" s="31">
        <v>3.5444999999999998</v>
      </c>
      <c r="G5583" s="54">
        <f t="shared" si="97"/>
        <v>3.5444999999999998</v>
      </c>
      <c r="H5583" s="39">
        <f>SUM(G5583:G5583)</f>
        <v>3.5444999999999998</v>
      </c>
      <c r="I5583" s="40"/>
      <c r="J5583" s="155">
        <v>0</v>
      </c>
    </row>
    <row r="5584" spans="1:10" ht="15" hidden="1" thickBot="1" x14ac:dyDescent="0.35">
      <c r="A5584" s="228"/>
      <c r="B5584" s="225"/>
      <c r="C5584" s="55"/>
      <c r="D5584" s="166"/>
      <c r="E5584" s="66"/>
      <c r="F5584" s="76" t="s">
        <v>560</v>
      </c>
      <c r="G5584" s="76" t="str">
        <f t="shared" si="97"/>
        <v/>
      </c>
      <c r="H5584" s="77"/>
      <c r="I5584" s="74"/>
      <c r="J5584" s="155">
        <v>0</v>
      </c>
    </row>
    <row r="5585" spans="1:10" ht="15" hidden="1" thickBot="1" x14ac:dyDescent="0.35">
      <c r="A5585" s="226" t="s">
        <v>2242</v>
      </c>
      <c r="B5585" s="223" t="e">
        <f>INDEX(#REF!,MATCH(Composições!A5585,#REF!,0),2)</f>
        <v>#REF!</v>
      </c>
      <c r="C5585" s="41"/>
      <c r="D5585" s="26" t="e">
        <f>TRIM(INDEX(#REF!,MATCH(Composições!A5585,#REF!,0),1))</f>
        <v>#REF!</v>
      </c>
      <c r="E5585" s="27"/>
      <c r="F5585" s="49" t="s">
        <v>560</v>
      </c>
      <c r="G5585" s="28" t="str">
        <f t="shared" si="97"/>
        <v/>
      </c>
      <c r="H5585" s="29"/>
      <c r="I5585" s="30"/>
      <c r="J5585" s="155">
        <v>0</v>
      </c>
    </row>
    <row r="5586" spans="1:10" ht="15" hidden="1" thickBot="1" x14ac:dyDescent="0.35">
      <c r="A5586" s="227"/>
      <c r="B5586" s="224"/>
      <c r="C5586" s="170"/>
      <c r="D5586" s="170"/>
      <c r="E5586" s="171"/>
      <c r="F5586" s="54" t="s">
        <v>560</v>
      </c>
      <c r="G5586" s="54" t="str">
        <f t="shared" si="97"/>
        <v/>
      </c>
      <c r="H5586" s="73"/>
      <c r="I5586" s="74"/>
      <c r="J5586" s="155">
        <v>0</v>
      </c>
    </row>
    <row r="5587" spans="1:10" ht="40.200000000000003" hidden="1" thickBot="1" x14ac:dyDescent="0.35">
      <c r="A5587" s="227"/>
      <c r="B5587" s="224"/>
      <c r="C5587" s="36" t="s">
        <v>1752</v>
      </c>
      <c r="D5587" s="163" t="s">
        <v>20</v>
      </c>
      <c r="E5587" s="164">
        <v>1</v>
      </c>
      <c r="F5587" s="31">
        <v>1.0880000000000001</v>
      </c>
      <c r="G5587" s="54">
        <f t="shared" si="97"/>
        <v>1.0880000000000001</v>
      </c>
      <c r="H5587" s="39">
        <f>SUM(G5587:G5587)</f>
        <v>1.0880000000000001</v>
      </c>
      <c r="I5587" s="40"/>
      <c r="J5587" s="155">
        <v>0</v>
      </c>
    </row>
    <row r="5588" spans="1:10" ht="15" hidden="1" thickBot="1" x14ac:dyDescent="0.35">
      <c r="A5588" s="228"/>
      <c r="B5588" s="225"/>
      <c r="C5588" s="55"/>
      <c r="D5588" s="166"/>
      <c r="E5588" s="66"/>
      <c r="F5588" s="76" t="s">
        <v>560</v>
      </c>
      <c r="G5588" s="76" t="str">
        <f t="shared" si="97"/>
        <v/>
      </c>
      <c r="H5588" s="77"/>
      <c r="I5588" s="74"/>
      <c r="J5588" s="155">
        <v>0</v>
      </c>
    </row>
    <row r="5589" spans="1:10" ht="15" hidden="1" thickBot="1" x14ac:dyDescent="0.35">
      <c r="A5589" s="226" t="s">
        <v>2243</v>
      </c>
      <c r="B5589" s="223" t="e">
        <f>INDEX(#REF!,MATCH(Composições!A5589,#REF!,0),2)</f>
        <v>#REF!</v>
      </c>
      <c r="C5589" s="41"/>
      <c r="D5589" s="26" t="e">
        <f>TRIM(INDEX(#REF!,MATCH(Composições!A5589,#REF!,0),1))</f>
        <v>#REF!</v>
      </c>
      <c r="E5589" s="27"/>
      <c r="F5589" s="49" t="s">
        <v>560</v>
      </c>
      <c r="G5589" s="28" t="str">
        <f t="shared" si="97"/>
        <v/>
      </c>
      <c r="H5589" s="29"/>
      <c r="I5589" s="30"/>
      <c r="J5589" s="155">
        <v>0</v>
      </c>
    </row>
    <row r="5590" spans="1:10" ht="15" hidden="1" thickBot="1" x14ac:dyDescent="0.35">
      <c r="A5590" s="227"/>
      <c r="B5590" s="224"/>
      <c r="C5590" s="170"/>
      <c r="D5590" s="170"/>
      <c r="E5590" s="171"/>
      <c r="F5590" s="54" t="s">
        <v>560</v>
      </c>
      <c r="G5590" s="54" t="str">
        <f t="shared" si="97"/>
        <v/>
      </c>
      <c r="H5590" s="73"/>
      <c r="I5590" s="74"/>
      <c r="J5590" s="155">
        <v>0</v>
      </c>
    </row>
    <row r="5591" spans="1:10" ht="40.200000000000003" hidden="1" thickBot="1" x14ac:dyDescent="0.35">
      <c r="A5591" s="227"/>
      <c r="B5591" s="224"/>
      <c r="C5591" s="36" t="s">
        <v>1745</v>
      </c>
      <c r="D5591" s="163" t="s">
        <v>20</v>
      </c>
      <c r="E5591" s="164">
        <v>1</v>
      </c>
      <c r="F5591" s="31">
        <v>5.1425000000000001</v>
      </c>
      <c r="G5591" s="54">
        <f t="shared" si="97"/>
        <v>5.1425000000000001</v>
      </c>
      <c r="H5591" s="39">
        <f>SUM(G5591:G5591)</f>
        <v>5.1425000000000001</v>
      </c>
      <c r="I5591" s="40"/>
      <c r="J5591" s="155">
        <v>0</v>
      </c>
    </row>
    <row r="5592" spans="1:10" ht="15" hidden="1" thickBot="1" x14ac:dyDescent="0.35">
      <c r="A5592" s="228"/>
      <c r="B5592" s="225"/>
      <c r="C5592" s="55"/>
      <c r="D5592" s="166"/>
      <c r="E5592" s="66"/>
      <c r="F5592" s="76" t="s">
        <v>560</v>
      </c>
      <c r="G5592" s="76" t="str">
        <f t="shared" si="97"/>
        <v/>
      </c>
      <c r="H5592" s="77"/>
      <c r="I5592" s="74"/>
      <c r="J5592" s="155">
        <v>0</v>
      </c>
    </row>
    <row r="5593" spans="1:10" ht="15" hidden="1" thickBot="1" x14ac:dyDescent="0.35">
      <c r="A5593" s="220" t="s">
        <v>2244</v>
      </c>
      <c r="B5593" s="223" t="e">
        <f>INDEX(#REF!,MATCH(Composições!A5593,#REF!,0),2)</f>
        <v>#REF!</v>
      </c>
      <c r="C5593" s="41"/>
      <c r="D5593" s="26" t="e">
        <f>TRIM(INDEX(#REF!,MATCH(Composições!A5593,#REF!,0),1))</f>
        <v>#REF!</v>
      </c>
      <c r="E5593" s="27"/>
      <c r="F5593" s="49" t="s">
        <v>560</v>
      </c>
      <c r="G5593" s="28" t="str">
        <f t="shared" si="97"/>
        <v/>
      </c>
      <c r="H5593" s="29"/>
      <c r="I5593" s="30"/>
      <c r="J5593" s="155">
        <v>0</v>
      </c>
    </row>
    <row r="5594" spans="1:10" ht="15" hidden="1" thickBot="1" x14ac:dyDescent="0.35">
      <c r="A5594" s="221"/>
      <c r="B5594" s="224"/>
      <c r="C5594" s="170"/>
      <c r="D5594" s="170"/>
      <c r="E5594" s="171"/>
      <c r="F5594" s="54" t="s">
        <v>560</v>
      </c>
      <c r="G5594" s="54" t="str">
        <f t="shared" si="97"/>
        <v/>
      </c>
      <c r="H5594" s="73"/>
      <c r="I5594" s="74"/>
      <c r="J5594" s="155">
        <v>0</v>
      </c>
    </row>
    <row r="5595" spans="1:10" ht="27" hidden="1" thickBot="1" x14ac:dyDescent="0.35">
      <c r="A5595" s="221"/>
      <c r="B5595" s="224"/>
      <c r="C5595" s="36" t="s">
        <v>1805</v>
      </c>
      <c r="D5595" s="163" t="s">
        <v>20</v>
      </c>
      <c r="E5595" s="164">
        <v>1</v>
      </c>
      <c r="F5595" s="31">
        <v>1.5129999999999999</v>
      </c>
      <c r="G5595" s="54">
        <f t="shared" si="97"/>
        <v>1.5129999999999999</v>
      </c>
      <c r="H5595" s="39">
        <f>SUM(G5595:G5595)</f>
        <v>1.5129999999999999</v>
      </c>
      <c r="I5595" s="40"/>
      <c r="J5595" s="155">
        <v>0</v>
      </c>
    </row>
    <row r="5596" spans="1:10" ht="15" hidden="1" thickBot="1" x14ac:dyDescent="0.35">
      <c r="A5596" s="222"/>
      <c r="B5596" s="225"/>
      <c r="C5596" s="55"/>
      <c r="D5596" s="166"/>
      <c r="E5596" s="66"/>
      <c r="F5596" s="76" t="s">
        <v>560</v>
      </c>
      <c r="G5596" s="76" t="str">
        <f t="shared" si="97"/>
        <v/>
      </c>
      <c r="H5596" s="77"/>
      <c r="I5596" s="74"/>
      <c r="J5596" s="155">
        <v>0</v>
      </c>
    </row>
    <row r="5597" spans="1:10" ht="15" hidden="1" thickBot="1" x14ac:dyDescent="0.35">
      <c r="A5597" s="220" t="s">
        <v>2245</v>
      </c>
      <c r="B5597" s="223" t="e">
        <f>INDEX(#REF!,MATCH(Composições!A5597,#REF!,0),2)</f>
        <v>#REF!</v>
      </c>
      <c r="C5597" s="41"/>
      <c r="D5597" s="26" t="e">
        <f>TRIM(INDEX(#REF!,MATCH(Composições!A5597,#REF!,0),1))</f>
        <v>#REF!</v>
      </c>
      <c r="E5597" s="27"/>
      <c r="F5597" s="49" t="s">
        <v>560</v>
      </c>
      <c r="G5597" s="28" t="str">
        <f t="shared" ref="G5597:G5660" si="98">IF(ISNUMBER(F5597),E5597*F5597,"")</f>
        <v/>
      </c>
      <c r="H5597" s="29"/>
      <c r="I5597" s="30"/>
      <c r="J5597" s="155">
        <v>0</v>
      </c>
    </row>
    <row r="5598" spans="1:10" ht="15" hidden="1" thickBot="1" x14ac:dyDescent="0.35">
      <c r="A5598" s="221"/>
      <c r="B5598" s="224"/>
      <c r="C5598" s="170"/>
      <c r="D5598" s="170"/>
      <c r="E5598" s="171"/>
      <c r="F5598" s="54" t="s">
        <v>560</v>
      </c>
      <c r="G5598" s="54" t="str">
        <f t="shared" si="98"/>
        <v/>
      </c>
      <c r="H5598" s="73"/>
      <c r="I5598" s="74"/>
      <c r="J5598" s="155">
        <v>0</v>
      </c>
    </row>
    <row r="5599" spans="1:10" ht="27" hidden="1" thickBot="1" x14ac:dyDescent="0.35">
      <c r="A5599" s="221"/>
      <c r="B5599" s="224"/>
      <c r="C5599" s="36" t="s">
        <v>1763</v>
      </c>
      <c r="D5599" s="163" t="s">
        <v>20</v>
      </c>
      <c r="E5599" s="164">
        <v>1</v>
      </c>
      <c r="F5599" s="31">
        <v>4.0119999999999996</v>
      </c>
      <c r="G5599" s="54">
        <f t="shared" si="98"/>
        <v>4.0119999999999996</v>
      </c>
      <c r="H5599" s="39">
        <f>SUM(G5599:G5599)</f>
        <v>4.0119999999999996</v>
      </c>
      <c r="I5599" s="40"/>
      <c r="J5599" s="155">
        <v>0</v>
      </c>
    </row>
    <row r="5600" spans="1:10" ht="15" hidden="1" thickBot="1" x14ac:dyDescent="0.35">
      <c r="A5600" s="222"/>
      <c r="B5600" s="225"/>
      <c r="C5600" s="55"/>
      <c r="D5600" s="166"/>
      <c r="E5600" s="66"/>
      <c r="F5600" s="76" t="s">
        <v>560</v>
      </c>
      <c r="G5600" s="76" t="str">
        <f t="shared" si="98"/>
        <v/>
      </c>
      <c r="H5600" s="77"/>
      <c r="I5600" s="74"/>
      <c r="J5600" s="155">
        <v>0</v>
      </c>
    </row>
    <row r="5601" spans="1:10" ht="15" hidden="1" thickBot="1" x14ac:dyDescent="0.35">
      <c r="A5601" s="220" t="s">
        <v>2246</v>
      </c>
      <c r="B5601" s="223" t="e">
        <f>INDEX(#REF!,MATCH(Composições!A5601,#REF!,0),2)</f>
        <v>#REF!</v>
      </c>
      <c r="C5601" s="41"/>
      <c r="D5601" s="26" t="e">
        <f>TRIM(INDEX(#REF!,MATCH(Composições!A5601,#REF!,0),1))</f>
        <v>#REF!</v>
      </c>
      <c r="E5601" s="27"/>
      <c r="F5601" s="49" t="s">
        <v>560</v>
      </c>
      <c r="G5601" s="28" t="str">
        <f t="shared" si="98"/>
        <v/>
      </c>
      <c r="H5601" s="29"/>
      <c r="I5601" s="30"/>
      <c r="J5601" s="155">
        <v>0</v>
      </c>
    </row>
    <row r="5602" spans="1:10" ht="15" hidden="1" thickBot="1" x14ac:dyDescent="0.35">
      <c r="A5602" s="221"/>
      <c r="B5602" s="224"/>
      <c r="C5602" s="170"/>
      <c r="D5602" s="170"/>
      <c r="E5602" s="171"/>
      <c r="F5602" s="54" t="s">
        <v>560</v>
      </c>
      <c r="G5602" s="54" t="str">
        <f t="shared" si="98"/>
        <v/>
      </c>
      <c r="H5602" s="73"/>
      <c r="I5602" s="74"/>
      <c r="J5602" s="155">
        <v>0</v>
      </c>
    </row>
    <row r="5603" spans="1:10" ht="40.200000000000003" hidden="1" thickBot="1" x14ac:dyDescent="0.35">
      <c r="A5603" s="221"/>
      <c r="B5603" s="224"/>
      <c r="C5603" s="36" t="s">
        <v>1750</v>
      </c>
      <c r="D5603" s="163" t="s">
        <v>20</v>
      </c>
      <c r="E5603" s="164">
        <v>1</v>
      </c>
      <c r="F5603" s="31">
        <v>1.9464999999999999</v>
      </c>
      <c r="G5603" s="54">
        <f t="shared" si="98"/>
        <v>1.9464999999999999</v>
      </c>
      <c r="H5603" s="39">
        <f>SUM(G5603:G5603)</f>
        <v>1.9464999999999999</v>
      </c>
      <c r="I5603" s="40"/>
      <c r="J5603" s="155">
        <v>0</v>
      </c>
    </row>
    <row r="5604" spans="1:10" ht="15" hidden="1" thickBot="1" x14ac:dyDescent="0.35">
      <c r="A5604" s="222"/>
      <c r="B5604" s="225"/>
      <c r="C5604" s="55"/>
      <c r="D5604" s="166"/>
      <c r="E5604" s="66"/>
      <c r="F5604" s="76" t="s">
        <v>560</v>
      </c>
      <c r="G5604" s="76" t="str">
        <f t="shared" si="98"/>
        <v/>
      </c>
      <c r="H5604" s="77"/>
      <c r="I5604" s="74"/>
      <c r="J5604" s="155">
        <v>0</v>
      </c>
    </row>
    <row r="5605" spans="1:10" ht="15" hidden="1" thickBot="1" x14ac:dyDescent="0.35">
      <c r="A5605" s="220" t="s">
        <v>2247</v>
      </c>
      <c r="B5605" s="223" t="e">
        <f>INDEX(#REF!,MATCH(Composições!A5605,#REF!,0),2)</f>
        <v>#REF!</v>
      </c>
      <c r="C5605" s="41"/>
      <c r="D5605" s="26" t="e">
        <f>TRIM(INDEX(#REF!,MATCH(Composições!A5605,#REF!,0),1))</f>
        <v>#REF!</v>
      </c>
      <c r="E5605" s="27"/>
      <c r="F5605" s="49" t="s">
        <v>560</v>
      </c>
      <c r="G5605" s="28" t="str">
        <f t="shared" si="98"/>
        <v/>
      </c>
      <c r="H5605" s="29"/>
      <c r="I5605" s="30"/>
      <c r="J5605" s="155">
        <v>0</v>
      </c>
    </row>
    <row r="5606" spans="1:10" ht="15" hidden="1" thickBot="1" x14ac:dyDescent="0.35">
      <c r="A5606" s="221"/>
      <c r="B5606" s="224"/>
      <c r="C5606" s="170"/>
      <c r="D5606" s="170"/>
      <c r="E5606" s="171"/>
      <c r="F5606" s="54" t="s">
        <v>560</v>
      </c>
      <c r="G5606" s="54" t="str">
        <f t="shared" si="98"/>
        <v/>
      </c>
      <c r="H5606" s="73"/>
      <c r="I5606" s="74"/>
      <c r="J5606" s="155">
        <v>0</v>
      </c>
    </row>
    <row r="5607" spans="1:10" ht="27" hidden="1" thickBot="1" x14ac:dyDescent="0.35">
      <c r="A5607" s="221"/>
      <c r="B5607" s="224"/>
      <c r="C5607" s="36" t="s">
        <v>1742</v>
      </c>
      <c r="D5607" s="163" t="s">
        <v>20</v>
      </c>
      <c r="E5607" s="164">
        <v>1</v>
      </c>
      <c r="F5607" s="31">
        <v>6.1794999999999991</v>
      </c>
      <c r="G5607" s="54">
        <f t="shared" si="98"/>
        <v>6.1794999999999991</v>
      </c>
      <c r="H5607" s="39">
        <f>SUM(G5607:G5607)</f>
        <v>6.1794999999999991</v>
      </c>
      <c r="I5607" s="40"/>
      <c r="J5607" s="155">
        <v>0</v>
      </c>
    </row>
    <row r="5608" spans="1:10" ht="15" hidden="1" thickBot="1" x14ac:dyDescent="0.35">
      <c r="A5608" s="222"/>
      <c r="B5608" s="225"/>
      <c r="C5608" s="55"/>
      <c r="D5608" s="166"/>
      <c r="E5608" s="66"/>
      <c r="F5608" s="76" t="s">
        <v>560</v>
      </c>
      <c r="G5608" s="76" t="str">
        <f t="shared" si="98"/>
        <v/>
      </c>
      <c r="H5608" s="77"/>
      <c r="I5608" s="74"/>
      <c r="J5608" s="155">
        <v>0</v>
      </c>
    </row>
    <row r="5609" spans="1:10" ht="15" hidden="1" thickBot="1" x14ac:dyDescent="0.35">
      <c r="A5609" s="220" t="s">
        <v>2248</v>
      </c>
      <c r="B5609" s="223" t="e">
        <f>INDEX(#REF!,MATCH(Composições!A5609,#REF!,0),2)</f>
        <v>#REF!</v>
      </c>
      <c r="C5609" s="41"/>
      <c r="D5609" s="26" t="e">
        <f>TRIM(INDEX(#REF!,MATCH(Composições!A5609,#REF!,0),1))</f>
        <v>#REF!</v>
      </c>
      <c r="E5609" s="27"/>
      <c r="F5609" s="49" t="s">
        <v>560</v>
      </c>
      <c r="G5609" s="28" t="str">
        <f t="shared" si="98"/>
        <v/>
      </c>
      <c r="H5609" s="29"/>
      <c r="I5609" s="30"/>
      <c r="J5609" s="155">
        <v>0</v>
      </c>
    </row>
    <row r="5610" spans="1:10" ht="15" hidden="1" thickBot="1" x14ac:dyDescent="0.35">
      <c r="A5610" s="221"/>
      <c r="B5610" s="224"/>
      <c r="C5610" s="170"/>
      <c r="D5610" s="170"/>
      <c r="E5610" s="171"/>
      <c r="F5610" s="54" t="s">
        <v>560</v>
      </c>
      <c r="G5610" s="54" t="str">
        <f t="shared" si="98"/>
        <v/>
      </c>
      <c r="H5610" s="73"/>
      <c r="I5610" s="74"/>
      <c r="J5610" s="155">
        <v>0</v>
      </c>
    </row>
    <row r="5611" spans="1:10" ht="27" hidden="1" thickBot="1" x14ac:dyDescent="0.35">
      <c r="A5611" s="221"/>
      <c r="B5611" s="224"/>
      <c r="C5611" s="36" t="s">
        <v>1806</v>
      </c>
      <c r="D5611" s="163" t="s">
        <v>20</v>
      </c>
      <c r="E5611" s="164">
        <v>1</v>
      </c>
      <c r="F5611" s="31">
        <v>1.7594999999999998</v>
      </c>
      <c r="G5611" s="54">
        <f t="shared" si="98"/>
        <v>1.7594999999999998</v>
      </c>
      <c r="H5611" s="39">
        <f>SUM(G5611:G5611)</f>
        <v>1.7594999999999998</v>
      </c>
      <c r="I5611" s="40"/>
      <c r="J5611" s="155">
        <v>0</v>
      </c>
    </row>
    <row r="5612" spans="1:10" ht="15" hidden="1" thickBot="1" x14ac:dyDescent="0.35">
      <c r="A5612" s="222"/>
      <c r="B5612" s="225"/>
      <c r="C5612" s="55"/>
      <c r="D5612" s="166"/>
      <c r="E5612" s="66"/>
      <c r="F5612" s="76" t="s">
        <v>560</v>
      </c>
      <c r="G5612" s="76" t="str">
        <f t="shared" si="98"/>
        <v/>
      </c>
      <c r="H5612" s="77"/>
      <c r="I5612" s="74"/>
      <c r="J5612" s="155">
        <v>0</v>
      </c>
    </row>
    <row r="5613" spans="1:10" ht="15" hidden="1" thickBot="1" x14ac:dyDescent="0.35">
      <c r="A5613" s="220" t="s">
        <v>2249</v>
      </c>
      <c r="B5613" s="223" t="e">
        <f>INDEX(#REF!,MATCH(Composições!A5613,#REF!,0),2)</f>
        <v>#REF!</v>
      </c>
      <c r="C5613" s="41"/>
      <c r="D5613" s="26" t="e">
        <f>TRIM(INDEX(#REF!,MATCH(Composições!A5613,#REF!,0),1))</f>
        <v>#REF!</v>
      </c>
      <c r="E5613" s="27"/>
      <c r="F5613" s="49" t="s">
        <v>560</v>
      </c>
      <c r="G5613" s="28" t="str">
        <f t="shared" si="98"/>
        <v/>
      </c>
      <c r="H5613" s="29"/>
      <c r="I5613" s="30"/>
      <c r="J5613" s="155">
        <v>0</v>
      </c>
    </row>
    <row r="5614" spans="1:10" ht="15" hidden="1" thickBot="1" x14ac:dyDescent="0.35">
      <c r="A5614" s="221"/>
      <c r="B5614" s="224"/>
      <c r="C5614" s="170"/>
      <c r="D5614" s="170"/>
      <c r="E5614" s="171"/>
      <c r="F5614" s="54" t="s">
        <v>560</v>
      </c>
      <c r="G5614" s="54" t="str">
        <f t="shared" si="98"/>
        <v/>
      </c>
      <c r="H5614" s="73"/>
      <c r="I5614" s="74"/>
      <c r="J5614" s="155">
        <v>0</v>
      </c>
    </row>
    <row r="5615" spans="1:10" ht="27" hidden="1" thickBot="1" x14ac:dyDescent="0.35">
      <c r="A5615" s="221"/>
      <c r="B5615" s="224"/>
      <c r="C5615" s="36" t="s">
        <v>1764</v>
      </c>
      <c r="D5615" s="163" t="s">
        <v>20</v>
      </c>
      <c r="E5615" s="164">
        <v>1</v>
      </c>
      <c r="F5615" s="31">
        <v>5.4485000000000001</v>
      </c>
      <c r="G5615" s="54">
        <f t="shared" si="98"/>
        <v>5.4485000000000001</v>
      </c>
      <c r="H5615" s="39">
        <f>SUM(G5615:G5615)</f>
        <v>5.4485000000000001</v>
      </c>
      <c r="I5615" s="40"/>
      <c r="J5615" s="155">
        <v>0</v>
      </c>
    </row>
    <row r="5616" spans="1:10" ht="15" hidden="1" thickBot="1" x14ac:dyDescent="0.35">
      <c r="A5616" s="222"/>
      <c r="B5616" s="225"/>
      <c r="C5616" s="55"/>
      <c r="D5616" s="166"/>
      <c r="E5616" s="66"/>
      <c r="F5616" s="76" t="s">
        <v>560</v>
      </c>
      <c r="G5616" s="76" t="str">
        <f t="shared" si="98"/>
        <v/>
      </c>
      <c r="H5616" s="77"/>
      <c r="I5616" s="74"/>
      <c r="J5616" s="155">
        <v>0</v>
      </c>
    </row>
    <row r="5617" spans="1:10" ht="15" hidden="1" thickBot="1" x14ac:dyDescent="0.35">
      <c r="A5617" s="220" t="s">
        <v>2250</v>
      </c>
      <c r="B5617" s="223" t="e">
        <f>INDEX(#REF!,MATCH(Composições!A5617,#REF!,0),2)</f>
        <v>#REF!</v>
      </c>
      <c r="C5617" s="41"/>
      <c r="D5617" s="26" t="e">
        <f>TRIM(INDEX(#REF!,MATCH(Composições!A5617,#REF!,0),1))</f>
        <v>#REF!</v>
      </c>
      <c r="E5617" s="27"/>
      <c r="F5617" s="49" t="s">
        <v>560</v>
      </c>
      <c r="G5617" s="28" t="str">
        <f t="shared" si="98"/>
        <v/>
      </c>
      <c r="H5617" s="29"/>
      <c r="I5617" s="30"/>
      <c r="J5617" s="155">
        <v>0</v>
      </c>
    </row>
    <row r="5618" spans="1:10" ht="15" hidden="1" thickBot="1" x14ac:dyDescent="0.35">
      <c r="A5618" s="221"/>
      <c r="B5618" s="224"/>
      <c r="C5618" s="170"/>
      <c r="D5618" s="170"/>
      <c r="E5618" s="171"/>
      <c r="F5618" s="54" t="s">
        <v>560</v>
      </c>
      <c r="G5618" s="54" t="str">
        <f t="shared" si="98"/>
        <v/>
      </c>
      <c r="H5618" s="73"/>
      <c r="I5618" s="74"/>
      <c r="J5618" s="155">
        <v>0</v>
      </c>
    </row>
    <row r="5619" spans="1:10" ht="40.200000000000003" hidden="1" thickBot="1" x14ac:dyDescent="0.35">
      <c r="A5619" s="221"/>
      <c r="B5619" s="224"/>
      <c r="C5619" s="36" t="s">
        <v>1749</v>
      </c>
      <c r="D5619" s="163" t="s">
        <v>20</v>
      </c>
      <c r="E5619" s="164">
        <v>1</v>
      </c>
      <c r="F5619" s="31">
        <v>2.7284999999999999</v>
      </c>
      <c r="G5619" s="54">
        <f t="shared" si="98"/>
        <v>2.7284999999999999</v>
      </c>
      <c r="H5619" s="39">
        <f>SUM(G5619:G5619)</f>
        <v>2.7284999999999999</v>
      </c>
      <c r="I5619" s="40"/>
      <c r="J5619" s="155">
        <v>0</v>
      </c>
    </row>
    <row r="5620" spans="1:10" ht="15" hidden="1" thickBot="1" x14ac:dyDescent="0.35">
      <c r="A5620" s="222"/>
      <c r="B5620" s="225"/>
      <c r="C5620" s="55"/>
      <c r="D5620" s="166"/>
      <c r="E5620" s="66"/>
      <c r="F5620" s="76" t="s">
        <v>560</v>
      </c>
      <c r="G5620" s="76" t="str">
        <f t="shared" si="98"/>
        <v/>
      </c>
      <c r="H5620" s="77"/>
      <c r="I5620" s="74"/>
      <c r="J5620" s="155">
        <v>0</v>
      </c>
    </row>
    <row r="5621" spans="1:10" ht="15" hidden="1" thickBot="1" x14ac:dyDescent="0.35">
      <c r="A5621" s="220" t="s">
        <v>2251</v>
      </c>
      <c r="B5621" s="223" t="e">
        <f>INDEX(#REF!,MATCH(Composições!A5621,#REF!,0),2)</f>
        <v>#REF!</v>
      </c>
      <c r="C5621" s="41"/>
      <c r="D5621" s="26" t="e">
        <f>TRIM(INDEX(#REF!,MATCH(Composições!A5621,#REF!,0),1))</f>
        <v>#REF!</v>
      </c>
      <c r="E5621" s="27"/>
      <c r="F5621" s="49" t="s">
        <v>560</v>
      </c>
      <c r="G5621" s="28" t="str">
        <f t="shared" si="98"/>
        <v/>
      </c>
      <c r="H5621" s="29"/>
      <c r="I5621" s="30"/>
      <c r="J5621" s="155">
        <v>0</v>
      </c>
    </row>
    <row r="5622" spans="1:10" ht="15" hidden="1" thickBot="1" x14ac:dyDescent="0.35">
      <c r="A5622" s="221"/>
      <c r="B5622" s="224"/>
      <c r="C5622" s="170"/>
      <c r="D5622" s="170"/>
      <c r="E5622" s="171"/>
      <c r="F5622" s="54" t="s">
        <v>560</v>
      </c>
      <c r="G5622" s="54" t="str">
        <f t="shared" si="98"/>
        <v/>
      </c>
      <c r="H5622" s="73"/>
      <c r="I5622" s="74"/>
      <c r="J5622" s="155">
        <v>0</v>
      </c>
    </row>
    <row r="5623" spans="1:10" ht="40.200000000000003" hidden="1" thickBot="1" x14ac:dyDescent="0.35">
      <c r="A5623" s="221"/>
      <c r="B5623" s="224"/>
      <c r="C5623" s="36" t="s">
        <v>1741</v>
      </c>
      <c r="D5623" s="163" t="s">
        <v>20</v>
      </c>
      <c r="E5623" s="164">
        <v>1</v>
      </c>
      <c r="F5623" s="31">
        <v>7.7010000000000005</v>
      </c>
      <c r="G5623" s="54">
        <f t="shared" si="98"/>
        <v>7.7010000000000005</v>
      </c>
      <c r="H5623" s="39">
        <f>SUM(G5623:G5623)</f>
        <v>7.7010000000000005</v>
      </c>
      <c r="I5623" s="40"/>
      <c r="J5623" s="155">
        <v>0</v>
      </c>
    </row>
    <row r="5624" spans="1:10" ht="15" hidden="1" thickBot="1" x14ac:dyDescent="0.35">
      <c r="A5624" s="222"/>
      <c r="B5624" s="225"/>
      <c r="C5624" s="55"/>
      <c r="D5624" s="166"/>
      <c r="E5624" s="66"/>
      <c r="F5624" s="76" t="s">
        <v>560</v>
      </c>
      <c r="G5624" s="76" t="str">
        <f t="shared" si="98"/>
        <v/>
      </c>
      <c r="H5624" s="77"/>
      <c r="I5624" s="74"/>
      <c r="J5624" s="155">
        <v>0</v>
      </c>
    </row>
    <row r="5625" spans="1:10" ht="15" hidden="1" thickBot="1" x14ac:dyDescent="0.35">
      <c r="A5625" s="220" t="s">
        <v>2252</v>
      </c>
      <c r="B5625" s="223" t="e">
        <f>INDEX(#REF!,MATCH(Composições!A5625,#REF!,0),2)</f>
        <v>#REF!</v>
      </c>
      <c r="C5625" s="41"/>
      <c r="D5625" s="26" t="e">
        <f>TRIM(INDEX(#REF!,MATCH(Composições!A5625,#REF!,0),1))</f>
        <v>#REF!</v>
      </c>
      <c r="E5625" s="27"/>
      <c r="F5625" s="49" t="s">
        <v>560</v>
      </c>
      <c r="G5625" s="28" t="str">
        <f t="shared" si="98"/>
        <v/>
      </c>
      <c r="H5625" s="29"/>
      <c r="I5625" s="30"/>
      <c r="J5625" s="155">
        <v>0</v>
      </c>
    </row>
    <row r="5626" spans="1:10" ht="15" hidden="1" thickBot="1" x14ac:dyDescent="0.35">
      <c r="A5626" s="221"/>
      <c r="B5626" s="224"/>
      <c r="C5626" s="170"/>
      <c r="D5626" s="170"/>
      <c r="E5626" s="171"/>
      <c r="F5626" s="54" t="s">
        <v>560</v>
      </c>
      <c r="G5626" s="54" t="str">
        <f t="shared" si="98"/>
        <v/>
      </c>
      <c r="H5626" s="73"/>
      <c r="I5626" s="74"/>
      <c r="J5626" s="155">
        <v>0</v>
      </c>
    </row>
    <row r="5627" spans="1:10" ht="27" hidden="1" thickBot="1" x14ac:dyDescent="0.35">
      <c r="A5627" s="221"/>
      <c r="B5627" s="224"/>
      <c r="C5627" s="36" t="s">
        <v>1807</v>
      </c>
      <c r="D5627" s="163" t="s">
        <v>20</v>
      </c>
      <c r="E5627" s="164">
        <v>1</v>
      </c>
      <c r="F5627" s="31">
        <v>3.1194999999999999</v>
      </c>
      <c r="G5627" s="54">
        <f t="shared" si="98"/>
        <v>3.1194999999999999</v>
      </c>
      <c r="H5627" s="39">
        <f>SUM(G5627:G5627)</f>
        <v>3.1194999999999999</v>
      </c>
      <c r="I5627" s="40"/>
      <c r="J5627" s="155">
        <v>0</v>
      </c>
    </row>
    <row r="5628" spans="1:10" ht="15" hidden="1" thickBot="1" x14ac:dyDescent="0.35">
      <c r="A5628" s="222"/>
      <c r="B5628" s="225"/>
      <c r="C5628" s="55"/>
      <c r="D5628" s="166"/>
      <c r="E5628" s="66"/>
      <c r="F5628" s="76" t="s">
        <v>560</v>
      </c>
      <c r="G5628" s="76" t="str">
        <f t="shared" si="98"/>
        <v/>
      </c>
      <c r="H5628" s="77"/>
      <c r="I5628" s="74"/>
      <c r="J5628" s="155">
        <v>0</v>
      </c>
    </row>
    <row r="5629" spans="1:10" ht="15" hidden="1" thickBot="1" x14ac:dyDescent="0.35">
      <c r="A5629" s="220" t="s">
        <v>2253</v>
      </c>
      <c r="B5629" s="223" t="e">
        <f>INDEX(#REF!,MATCH(Composições!A5629,#REF!,0),2)</f>
        <v>#REF!</v>
      </c>
      <c r="C5629" s="41"/>
      <c r="D5629" s="26" t="e">
        <f>TRIM(INDEX(#REF!,MATCH(Composições!A5629,#REF!,0),1))</f>
        <v>#REF!</v>
      </c>
      <c r="E5629" s="27"/>
      <c r="F5629" s="49" t="s">
        <v>560</v>
      </c>
      <c r="G5629" s="28" t="str">
        <f t="shared" si="98"/>
        <v/>
      </c>
      <c r="H5629" s="29"/>
      <c r="I5629" s="30"/>
      <c r="J5629" s="155">
        <v>0</v>
      </c>
    </row>
    <row r="5630" spans="1:10" ht="15" hidden="1" thickBot="1" x14ac:dyDescent="0.35">
      <c r="A5630" s="221"/>
      <c r="B5630" s="224"/>
      <c r="C5630" s="170"/>
      <c r="D5630" s="170"/>
      <c r="E5630" s="171"/>
      <c r="F5630" s="54" t="s">
        <v>560</v>
      </c>
      <c r="G5630" s="54" t="str">
        <f t="shared" si="98"/>
        <v/>
      </c>
      <c r="H5630" s="73"/>
      <c r="I5630" s="74"/>
      <c r="J5630" s="155">
        <v>0</v>
      </c>
    </row>
    <row r="5631" spans="1:10" ht="27" hidden="1" thickBot="1" x14ac:dyDescent="0.35">
      <c r="A5631" s="221"/>
      <c r="B5631" s="224"/>
      <c r="C5631" s="36" t="s">
        <v>1765</v>
      </c>
      <c r="D5631" s="163" t="s">
        <v>20</v>
      </c>
      <c r="E5631" s="164">
        <v>1</v>
      </c>
      <c r="F5631" s="31">
        <v>12.41</v>
      </c>
      <c r="G5631" s="54">
        <f t="shared" si="98"/>
        <v>12.41</v>
      </c>
      <c r="H5631" s="39">
        <f>SUM(G5631:G5631)</f>
        <v>12.41</v>
      </c>
      <c r="I5631" s="40"/>
      <c r="J5631" s="155">
        <v>0</v>
      </c>
    </row>
    <row r="5632" spans="1:10" ht="15" hidden="1" thickBot="1" x14ac:dyDescent="0.35">
      <c r="A5632" s="222"/>
      <c r="B5632" s="225"/>
      <c r="C5632" s="55"/>
      <c r="D5632" s="166"/>
      <c r="E5632" s="66"/>
      <c r="F5632" s="76" t="s">
        <v>560</v>
      </c>
      <c r="G5632" s="76" t="str">
        <f t="shared" si="98"/>
        <v/>
      </c>
      <c r="H5632" s="77"/>
      <c r="I5632" s="74"/>
      <c r="J5632" s="155">
        <v>0</v>
      </c>
    </row>
    <row r="5633" spans="1:10" ht="15" hidden="1" thickBot="1" x14ac:dyDescent="0.35">
      <c r="A5633" s="220" t="s">
        <v>2254</v>
      </c>
      <c r="B5633" s="223" t="e">
        <f>INDEX(#REF!,MATCH(Composições!A5633,#REF!,0),2)</f>
        <v>#REF!</v>
      </c>
      <c r="C5633" s="41"/>
      <c r="D5633" s="26" t="e">
        <f>TRIM(INDEX(#REF!,MATCH(Composições!A5633,#REF!,0),1))</f>
        <v>#REF!</v>
      </c>
      <c r="E5633" s="27"/>
      <c r="F5633" s="49" t="s">
        <v>560</v>
      </c>
      <c r="G5633" s="28" t="str">
        <f t="shared" si="98"/>
        <v/>
      </c>
      <c r="H5633" s="29"/>
      <c r="I5633" s="30"/>
      <c r="J5633" s="155">
        <v>0</v>
      </c>
    </row>
    <row r="5634" spans="1:10" ht="15" hidden="1" thickBot="1" x14ac:dyDescent="0.35">
      <c r="A5634" s="221"/>
      <c r="B5634" s="224"/>
      <c r="C5634" s="170"/>
      <c r="D5634" s="170"/>
      <c r="E5634" s="171"/>
      <c r="F5634" s="54" t="s">
        <v>560</v>
      </c>
      <c r="G5634" s="54" t="str">
        <f t="shared" si="98"/>
        <v/>
      </c>
      <c r="H5634" s="73"/>
      <c r="I5634" s="74"/>
      <c r="J5634" s="155">
        <v>0</v>
      </c>
    </row>
    <row r="5635" spans="1:10" ht="40.200000000000003" hidden="1" thickBot="1" x14ac:dyDescent="0.35">
      <c r="A5635" s="221"/>
      <c r="B5635" s="224"/>
      <c r="C5635" s="36" t="s">
        <v>1748</v>
      </c>
      <c r="D5635" s="163" t="s">
        <v>20</v>
      </c>
      <c r="E5635" s="164">
        <v>1</v>
      </c>
      <c r="F5635" s="31">
        <v>4.2669999999999995</v>
      </c>
      <c r="G5635" s="54">
        <f t="shared" si="98"/>
        <v>4.2669999999999995</v>
      </c>
      <c r="H5635" s="39">
        <f>SUM(G5635:G5635)</f>
        <v>4.2669999999999995</v>
      </c>
      <c r="I5635" s="40"/>
      <c r="J5635" s="155">
        <v>0</v>
      </c>
    </row>
    <row r="5636" spans="1:10" ht="15" hidden="1" thickBot="1" x14ac:dyDescent="0.35">
      <c r="A5636" s="222"/>
      <c r="B5636" s="225"/>
      <c r="C5636" s="55"/>
      <c r="D5636" s="166"/>
      <c r="E5636" s="66"/>
      <c r="F5636" s="76" t="s">
        <v>560</v>
      </c>
      <c r="G5636" s="76" t="str">
        <f t="shared" si="98"/>
        <v/>
      </c>
      <c r="H5636" s="77"/>
      <c r="I5636" s="74"/>
      <c r="J5636" s="155">
        <v>0</v>
      </c>
    </row>
    <row r="5637" spans="1:10" ht="15" hidden="1" thickBot="1" x14ac:dyDescent="0.35">
      <c r="A5637" s="220" t="s">
        <v>2255</v>
      </c>
      <c r="B5637" s="223" t="e">
        <f>INDEX(#REF!,MATCH(Composições!A5637,#REF!,0),2)</f>
        <v>#REF!</v>
      </c>
      <c r="C5637" s="41"/>
      <c r="D5637" s="26" t="e">
        <f>TRIM(INDEX(#REF!,MATCH(Composições!A5637,#REF!,0),1))</f>
        <v>#REF!</v>
      </c>
      <c r="E5637" s="27"/>
      <c r="F5637" s="49" t="s">
        <v>560</v>
      </c>
      <c r="G5637" s="28" t="str">
        <f t="shared" si="98"/>
        <v/>
      </c>
      <c r="H5637" s="29"/>
      <c r="I5637" s="30"/>
      <c r="J5637" s="155">
        <v>0</v>
      </c>
    </row>
    <row r="5638" spans="1:10" ht="15" hidden="1" thickBot="1" x14ac:dyDescent="0.35">
      <c r="A5638" s="221"/>
      <c r="B5638" s="224"/>
      <c r="C5638" s="170"/>
      <c r="D5638" s="170"/>
      <c r="E5638" s="171"/>
      <c r="F5638" s="54" t="s">
        <v>560</v>
      </c>
      <c r="G5638" s="54" t="str">
        <f t="shared" si="98"/>
        <v/>
      </c>
      <c r="H5638" s="73"/>
      <c r="I5638" s="74"/>
      <c r="J5638" s="155">
        <v>0</v>
      </c>
    </row>
    <row r="5639" spans="1:10" ht="40.200000000000003" hidden="1" thickBot="1" x14ac:dyDescent="0.35">
      <c r="A5639" s="221"/>
      <c r="B5639" s="224"/>
      <c r="C5639" s="36" t="s">
        <v>1740</v>
      </c>
      <c r="D5639" s="163" t="s">
        <v>20</v>
      </c>
      <c r="E5639" s="164">
        <v>1</v>
      </c>
      <c r="F5639" s="31">
        <v>11.917</v>
      </c>
      <c r="G5639" s="54">
        <f t="shared" si="98"/>
        <v>11.917</v>
      </c>
      <c r="H5639" s="39">
        <f>SUM(G5639:G5639)</f>
        <v>11.917</v>
      </c>
      <c r="I5639" s="40"/>
      <c r="J5639" s="155">
        <v>0</v>
      </c>
    </row>
    <row r="5640" spans="1:10" ht="15" hidden="1" thickBot="1" x14ac:dyDescent="0.35">
      <c r="A5640" s="222"/>
      <c r="B5640" s="225"/>
      <c r="C5640" s="55"/>
      <c r="D5640" s="166"/>
      <c r="E5640" s="66"/>
      <c r="F5640" s="76" t="s">
        <v>560</v>
      </c>
      <c r="G5640" s="76" t="str">
        <f t="shared" si="98"/>
        <v/>
      </c>
      <c r="H5640" s="77"/>
      <c r="I5640" s="74"/>
      <c r="J5640" s="155">
        <v>0</v>
      </c>
    </row>
    <row r="5641" spans="1:10" ht="15" hidden="1" thickBot="1" x14ac:dyDescent="0.35">
      <c r="A5641" s="220" t="s">
        <v>2256</v>
      </c>
      <c r="B5641" s="223" t="e">
        <f>INDEX(#REF!,MATCH(Composições!A5641,#REF!,0),2)</f>
        <v>#REF!</v>
      </c>
      <c r="C5641" s="41"/>
      <c r="D5641" s="26" t="e">
        <f>TRIM(INDEX(#REF!,MATCH(Composições!A5641,#REF!,0),1))</f>
        <v>#REF!</v>
      </c>
      <c r="E5641" s="27"/>
      <c r="F5641" s="49" t="s">
        <v>560</v>
      </c>
      <c r="G5641" s="28" t="str">
        <f t="shared" si="98"/>
        <v/>
      </c>
      <c r="H5641" s="29"/>
      <c r="I5641" s="30"/>
      <c r="J5641" s="155">
        <v>0</v>
      </c>
    </row>
    <row r="5642" spans="1:10" ht="15" hidden="1" thickBot="1" x14ac:dyDescent="0.35">
      <c r="A5642" s="221"/>
      <c r="B5642" s="224"/>
      <c r="C5642" s="170"/>
      <c r="D5642" s="170"/>
      <c r="E5642" s="171"/>
      <c r="F5642" s="54" t="s">
        <v>560</v>
      </c>
      <c r="G5642" s="54" t="str">
        <f t="shared" si="98"/>
        <v/>
      </c>
      <c r="H5642" s="73"/>
      <c r="I5642" s="74"/>
      <c r="J5642" s="155">
        <v>0</v>
      </c>
    </row>
    <row r="5643" spans="1:10" ht="27" hidden="1" thickBot="1" x14ac:dyDescent="0.35">
      <c r="A5643" s="221"/>
      <c r="B5643" s="224"/>
      <c r="C5643" s="36" t="s">
        <v>1808</v>
      </c>
      <c r="D5643" s="163" t="s">
        <v>20</v>
      </c>
      <c r="E5643" s="164">
        <v>1</v>
      </c>
      <c r="F5643" s="31">
        <v>4.5134999999999996</v>
      </c>
      <c r="G5643" s="54">
        <f t="shared" si="98"/>
        <v>4.5134999999999996</v>
      </c>
      <c r="H5643" s="39">
        <f>SUM(G5643:G5643)</f>
        <v>4.5134999999999996</v>
      </c>
      <c r="I5643" s="40"/>
      <c r="J5643" s="155">
        <v>0</v>
      </c>
    </row>
    <row r="5644" spans="1:10" ht="15" hidden="1" thickBot="1" x14ac:dyDescent="0.35">
      <c r="A5644" s="222"/>
      <c r="B5644" s="225"/>
      <c r="C5644" s="55"/>
      <c r="D5644" s="166"/>
      <c r="E5644" s="66"/>
      <c r="F5644" s="76" t="s">
        <v>560</v>
      </c>
      <c r="G5644" s="76" t="str">
        <f t="shared" si="98"/>
        <v/>
      </c>
      <c r="H5644" s="77"/>
      <c r="I5644" s="74"/>
      <c r="J5644" s="155">
        <v>0</v>
      </c>
    </row>
    <row r="5645" spans="1:10" ht="15" hidden="1" thickBot="1" x14ac:dyDescent="0.35">
      <c r="A5645" s="220" t="s">
        <v>2257</v>
      </c>
      <c r="B5645" s="223" t="e">
        <f>INDEX(#REF!,MATCH(Composições!A5517,#REF!,0),2)</f>
        <v>#REF!</v>
      </c>
      <c r="C5645" s="41"/>
      <c r="D5645" s="26" t="e">
        <f>TRIM(INDEX(#REF!,MATCH(Composições!A5645,#REF!,0),1))</f>
        <v>#REF!</v>
      </c>
      <c r="E5645" s="27"/>
      <c r="F5645" s="49" t="s">
        <v>560</v>
      </c>
      <c r="G5645" s="28" t="str">
        <f t="shared" si="98"/>
        <v/>
      </c>
      <c r="H5645" s="29"/>
      <c r="I5645" s="30"/>
      <c r="J5645" s="155">
        <v>0</v>
      </c>
    </row>
    <row r="5646" spans="1:10" ht="15" hidden="1" thickBot="1" x14ac:dyDescent="0.35">
      <c r="A5646" s="221"/>
      <c r="B5646" s="224"/>
      <c r="C5646" s="170"/>
      <c r="D5646" s="170"/>
      <c r="E5646" s="171"/>
      <c r="F5646" s="54" t="s">
        <v>560</v>
      </c>
      <c r="G5646" s="54" t="str">
        <f t="shared" si="98"/>
        <v/>
      </c>
      <c r="H5646" s="73"/>
      <c r="I5646" s="74"/>
      <c r="J5646" s="155">
        <v>0</v>
      </c>
    </row>
    <row r="5647" spans="1:10" ht="27" hidden="1" thickBot="1" x14ac:dyDescent="0.35">
      <c r="A5647" s="221"/>
      <c r="B5647" s="224"/>
      <c r="C5647" s="36" t="s">
        <v>1766</v>
      </c>
      <c r="D5647" s="163" t="s">
        <v>20</v>
      </c>
      <c r="E5647" s="164">
        <v>1</v>
      </c>
      <c r="F5647" s="31">
        <v>15.138499999999999</v>
      </c>
      <c r="G5647" s="54">
        <f t="shared" si="98"/>
        <v>15.138499999999999</v>
      </c>
      <c r="H5647" s="39">
        <f>SUM(G5647:G5647)</f>
        <v>15.138499999999999</v>
      </c>
      <c r="I5647" s="40"/>
      <c r="J5647" s="155">
        <v>0</v>
      </c>
    </row>
    <row r="5648" spans="1:10" ht="15" hidden="1" thickBot="1" x14ac:dyDescent="0.35">
      <c r="A5648" s="222"/>
      <c r="B5648" s="225"/>
      <c r="C5648" s="55"/>
      <c r="D5648" s="166"/>
      <c r="E5648" s="66"/>
      <c r="F5648" s="76" t="s">
        <v>560</v>
      </c>
      <c r="G5648" s="76" t="str">
        <f t="shared" si="98"/>
        <v/>
      </c>
      <c r="H5648" s="77"/>
      <c r="I5648" s="74"/>
      <c r="J5648" s="155">
        <v>0</v>
      </c>
    </row>
    <row r="5649" spans="1:10" ht="15" hidden="1" thickBot="1" x14ac:dyDescent="0.35">
      <c r="A5649" s="220" t="s">
        <v>2258</v>
      </c>
      <c r="B5649" s="223" t="e">
        <f>INDEX(#REF!,MATCH(Composições!A5649,#REF!,0),2)</f>
        <v>#REF!</v>
      </c>
      <c r="C5649" s="41"/>
      <c r="D5649" s="26" t="e">
        <f>TRIM(INDEX(#REF!,MATCH(Composições!A5649,#REF!,0),1))</f>
        <v>#REF!</v>
      </c>
      <c r="E5649" s="27"/>
      <c r="F5649" s="49" t="s">
        <v>560</v>
      </c>
      <c r="G5649" s="28" t="str">
        <f t="shared" si="98"/>
        <v/>
      </c>
      <c r="H5649" s="29"/>
      <c r="I5649" s="30"/>
      <c r="J5649" s="155">
        <v>0</v>
      </c>
    </row>
    <row r="5650" spans="1:10" ht="15" hidden="1" thickBot="1" x14ac:dyDescent="0.35">
      <c r="A5650" s="221"/>
      <c r="B5650" s="224"/>
      <c r="C5650" s="170"/>
      <c r="D5650" s="170"/>
      <c r="E5650" s="171"/>
      <c r="F5650" s="54" t="s">
        <v>560</v>
      </c>
      <c r="G5650" s="54" t="str">
        <f t="shared" si="98"/>
        <v/>
      </c>
      <c r="H5650" s="73"/>
      <c r="I5650" s="74"/>
      <c r="J5650" s="155">
        <v>0</v>
      </c>
    </row>
    <row r="5651" spans="1:10" ht="40.200000000000003" hidden="1" thickBot="1" x14ac:dyDescent="0.35">
      <c r="A5651" s="221"/>
      <c r="B5651" s="224"/>
      <c r="C5651" s="36" t="s">
        <v>1751</v>
      </c>
      <c r="D5651" s="163" t="s">
        <v>20</v>
      </c>
      <c r="E5651" s="164">
        <v>1</v>
      </c>
      <c r="F5651" s="31">
        <v>4.726</v>
      </c>
      <c r="G5651" s="54">
        <f t="shared" si="98"/>
        <v>4.726</v>
      </c>
      <c r="H5651" s="39">
        <f>SUM(G5651:G5651)</f>
        <v>4.726</v>
      </c>
      <c r="I5651" s="40"/>
      <c r="J5651" s="155">
        <v>0</v>
      </c>
    </row>
    <row r="5652" spans="1:10" ht="15" hidden="1" thickBot="1" x14ac:dyDescent="0.35">
      <c r="A5652" s="222"/>
      <c r="B5652" s="225"/>
      <c r="C5652" s="55"/>
      <c r="D5652" s="166"/>
      <c r="E5652" s="66"/>
      <c r="F5652" s="76" t="s">
        <v>560</v>
      </c>
      <c r="G5652" s="76" t="str">
        <f t="shared" si="98"/>
        <v/>
      </c>
      <c r="H5652" s="77"/>
      <c r="I5652" s="74"/>
      <c r="J5652" s="155">
        <v>0</v>
      </c>
    </row>
    <row r="5653" spans="1:10" ht="15" hidden="1" thickBot="1" x14ac:dyDescent="0.35">
      <c r="A5653" s="220" t="s">
        <v>2259</v>
      </c>
      <c r="B5653" s="223" t="e">
        <f>INDEX(#REF!,MATCH(Composições!A5653,#REF!,0),2)</f>
        <v>#REF!</v>
      </c>
      <c r="C5653" s="41"/>
      <c r="D5653" s="26" t="e">
        <f>TRIM(INDEX(#REF!,MATCH(Composições!A5653,#REF!,0),1))</f>
        <v>#REF!</v>
      </c>
      <c r="E5653" s="27"/>
      <c r="F5653" s="49" t="s">
        <v>560</v>
      </c>
      <c r="G5653" s="28" t="str">
        <f t="shared" si="98"/>
        <v/>
      </c>
      <c r="H5653" s="29"/>
      <c r="I5653" s="30"/>
      <c r="J5653" s="155">
        <v>0</v>
      </c>
    </row>
    <row r="5654" spans="1:10" ht="15" hidden="1" thickBot="1" x14ac:dyDescent="0.35">
      <c r="A5654" s="221"/>
      <c r="B5654" s="224"/>
      <c r="C5654" s="170"/>
      <c r="D5654" s="170"/>
      <c r="E5654" s="171"/>
      <c r="F5654" s="54" t="s">
        <v>560</v>
      </c>
      <c r="G5654" s="54" t="str">
        <f t="shared" si="98"/>
        <v/>
      </c>
      <c r="H5654" s="73"/>
      <c r="I5654" s="74"/>
      <c r="J5654" s="155">
        <v>0</v>
      </c>
    </row>
    <row r="5655" spans="1:10" ht="27" hidden="1" thickBot="1" x14ac:dyDescent="0.35">
      <c r="A5655" s="221"/>
      <c r="B5655" s="224"/>
      <c r="C5655" s="36" t="s">
        <v>1744</v>
      </c>
      <c r="D5655" s="163" t="s">
        <v>20</v>
      </c>
      <c r="E5655" s="164">
        <v>1</v>
      </c>
      <c r="F5655" s="31">
        <v>24.148499999999999</v>
      </c>
      <c r="G5655" s="54">
        <f t="shared" si="98"/>
        <v>24.148499999999999</v>
      </c>
      <c r="H5655" s="39">
        <f>SUM(G5655:G5655)</f>
        <v>24.148499999999999</v>
      </c>
      <c r="I5655" s="40"/>
      <c r="J5655" s="155">
        <v>0</v>
      </c>
    </row>
    <row r="5656" spans="1:10" ht="15" hidden="1" thickBot="1" x14ac:dyDescent="0.35">
      <c r="A5656" s="222"/>
      <c r="B5656" s="225"/>
      <c r="C5656" s="55"/>
      <c r="D5656" s="166"/>
      <c r="E5656" s="66"/>
      <c r="F5656" s="76" t="s">
        <v>560</v>
      </c>
      <c r="G5656" s="76" t="str">
        <f t="shared" si="98"/>
        <v/>
      </c>
      <c r="H5656" s="77"/>
      <c r="I5656" s="74"/>
      <c r="J5656" s="155">
        <v>0</v>
      </c>
    </row>
    <row r="5657" spans="1:10" ht="15" hidden="1" thickBot="1" x14ac:dyDescent="0.35">
      <c r="A5657" s="220" t="s">
        <v>2260</v>
      </c>
      <c r="B5657" s="223" t="e">
        <f>INDEX(#REF!,MATCH(Composições!A5657,#REF!,0),2)</f>
        <v>#REF!</v>
      </c>
      <c r="C5657" s="41"/>
      <c r="D5657" s="26" t="e">
        <f>TRIM(INDEX(#REF!,MATCH(Composições!A5657,#REF!,0),1))</f>
        <v>#REF!</v>
      </c>
      <c r="E5657" s="27"/>
      <c r="F5657" s="49" t="s">
        <v>560</v>
      </c>
      <c r="G5657" s="28" t="str">
        <f t="shared" si="98"/>
        <v/>
      </c>
      <c r="H5657" s="29"/>
      <c r="I5657" s="30"/>
      <c r="J5657" s="155">
        <v>0</v>
      </c>
    </row>
    <row r="5658" spans="1:10" ht="15" hidden="1" thickBot="1" x14ac:dyDescent="0.35">
      <c r="A5658" s="221"/>
      <c r="B5658" s="224"/>
      <c r="C5658" s="170"/>
      <c r="D5658" s="170"/>
      <c r="E5658" s="171"/>
      <c r="F5658" s="54" t="s">
        <v>560</v>
      </c>
      <c r="G5658" s="54" t="str">
        <f t="shared" si="98"/>
        <v/>
      </c>
      <c r="H5658" s="73"/>
      <c r="I5658" s="74"/>
      <c r="J5658" s="155">
        <v>0</v>
      </c>
    </row>
    <row r="5659" spans="1:10" ht="27" hidden="1" thickBot="1" x14ac:dyDescent="0.35">
      <c r="A5659" s="221"/>
      <c r="B5659" s="224"/>
      <c r="C5659" s="36" t="s">
        <v>1809</v>
      </c>
      <c r="D5659" s="163" t="s">
        <v>20</v>
      </c>
      <c r="E5659" s="164">
        <v>1</v>
      </c>
      <c r="F5659" s="31">
        <v>6.29</v>
      </c>
      <c r="G5659" s="54">
        <f t="shared" si="98"/>
        <v>6.29</v>
      </c>
      <c r="H5659" s="39">
        <f>SUM(G5659:G5659)</f>
        <v>6.29</v>
      </c>
      <c r="I5659" s="40"/>
      <c r="J5659" s="155">
        <v>0</v>
      </c>
    </row>
    <row r="5660" spans="1:10" ht="15" hidden="1" thickBot="1" x14ac:dyDescent="0.35">
      <c r="A5660" s="222"/>
      <c r="B5660" s="225"/>
      <c r="C5660" s="55"/>
      <c r="D5660" s="166"/>
      <c r="E5660" s="66"/>
      <c r="F5660" s="76" t="s">
        <v>560</v>
      </c>
      <c r="G5660" s="76" t="str">
        <f t="shared" si="98"/>
        <v/>
      </c>
      <c r="H5660" s="77"/>
      <c r="I5660" s="74"/>
      <c r="J5660" s="155">
        <v>0</v>
      </c>
    </row>
    <row r="5661" spans="1:10" ht="15" hidden="1" thickBot="1" x14ac:dyDescent="0.35">
      <c r="A5661" s="220" t="s">
        <v>2261</v>
      </c>
      <c r="B5661" s="223" t="e">
        <f>INDEX(#REF!,MATCH(Composições!A5661,#REF!,0),2)</f>
        <v>#REF!</v>
      </c>
      <c r="C5661" s="41"/>
      <c r="D5661" s="26" t="e">
        <f>TRIM(INDEX(#REF!,MATCH(Composições!A5661,#REF!,0),1))</f>
        <v>#REF!</v>
      </c>
      <c r="E5661" s="27"/>
      <c r="F5661" s="49" t="s">
        <v>560</v>
      </c>
      <c r="G5661" s="28" t="str">
        <f t="shared" ref="G5661:G5724" si="99">IF(ISNUMBER(F5661),E5661*F5661,"")</f>
        <v/>
      </c>
      <c r="H5661" s="29"/>
      <c r="I5661" s="30"/>
      <c r="J5661" s="155">
        <v>0</v>
      </c>
    </row>
    <row r="5662" spans="1:10" ht="15" hidden="1" thickBot="1" x14ac:dyDescent="0.35">
      <c r="A5662" s="221"/>
      <c r="B5662" s="224"/>
      <c r="C5662" s="170"/>
      <c r="D5662" s="170"/>
      <c r="E5662" s="171"/>
      <c r="F5662" s="54" t="s">
        <v>560</v>
      </c>
      <c r="G5662" s="54" t="str">
        <f t="shared" si="99"/>
        <v/>
      </c>
      <c r="H5662" s="73"/>
      <c r="I5662" s="74"/>
      <c r="J5662" s="155">
        <v>0</v>
      </c>
    </row>
    <row r="5663" spans="1:10" ht="27" hidden="1" thickBot="1" x14ac:dyDescent="0.35">
      <c r="A5663" s="221"/>
      <c r="B5663" s="224"/>
      <c r="C5663" s="36" t="s">
        <v>1767</v>
      </c>
      <c r="D5663" s="163" t="s">
        <v>20</v>
      </c>
      <c r="E5663" s="164">
        <v>1</v>
      </c>
      <c r="F5663" s="31">
        <v>22.227499999999999</v>
      </c>
      <c r="G5663" s="54">
        <f t="shared" si="99"/>
        <v>22.227499999999999</v>
      </c>
      <c r="H5663" s="39">
        <f>SUM(G5663:G5663)</f>
        <v>22.227499999999999</v>
      </c>
      <c r="I5663" s="40"/>
      <c r="J5663" s="155">
        <v>0</v>
      </c>
    </row>
    <row r="5664" spans="1:10" ht="15" hidden="1" thickBot="1" x14ac:dyDescent="0.35">
      <c r="A5664" s="222"/>
      <c r="B5664" s="225"/>
      <c r="C5664" s="55"/>
      <c r="D5664" s="166"/>
      <c r="E5664" s="66"/>
      <c r="F5664" s="76" t="s">
        <v>560</v>
      </c>
      <c r="G5664" s="76" t="str">
        <f t="shared" si="99"/>
        <v/>
      </c>
      <c r="H5664" s="77"/>
      <c r="I5664" s="74"/>
      <c r="J5664" s="155">
        <v>0</v>
      </c>
    </row>
    <row r="5665" spans="1:10" ht="15" hidden="1" thickBot="1" x14ac:dyDescent="0.35">
      <c r="A5665" s="220" t="s">
        <v>2262</v>
      </c>
      <c r="B5665" s="223" t="e">
        <f>INDEX(#REF!,MATCH(Composições!A5665,#REF!,0),2)</f>
        <v>#REF!</v>
      </c>
      <c r="C5665" s="41"/>
      <c r="D5665" s="26" t="e">
        <f>TRIM(INDEX(#REF!,MATCH(Composições!A5665,#REF!,0),1))</f>
        <v>#REF!</v>
      </c>
      <c r="E5665" s="27"/>
      <c r="F5665" s="49" t="s">
        <v>560</v>
      </c>
      <c r="G5665" s="28" t="str">
        <f t="shared" si="99"/>
        <v/>
      </c>
      <c r="H5665" s="29"/>
      <c r="I5665" s="30"/>
      <c r="J5665" s="155">
        <v>0</v>
      </c>
    </row>
    <row r="5666" spans="1:10" ht="15" hidden="1" thickBot="1" x14ac:dyDescent="0.35">
      <c r="A5666" s="221"/>
      <c r="B5666" s="224"/>
      <c r="C5666" s="170"/>
      <c r="D5666" s="170"/>
      <c r="E5666" s="171"/>
      <c r="F5666" s="54" t="s">
        <v>560</v>
      </c>
      <c r="G5666" s="54" t="str">
        <f t="shared" si="99"/>
        <v/>
      </c>
      <c r="H5666" s="73"/>
      <c r="I5666" s="74"/>
      <c r="J5666" s="155">
        <v>0</v>
      </c>
    </row>
    <row r="5667" spans="1:10" ht="40.200000000000003" hidden="1" thickBot="1" x14ac:dyDescent="0.35">
      <c r="A5667" s="221"/>
      <c r="B5667" s="224"/>
      <c r="C5667" s="36" t="s">
        <v>1743</v>
      </c>
      <c r="D5667" s="163" t="s">
        <v>20</v>
      </c>
      <c r="E5667" s="164">
        <v>1</v>
      </c>
      <c r="F5667" s="31">
        <v>56.737499999999997</v>
      </c>
      <c r="G5667" s="54">
        <f t="shared" si="99"/>
        <v>56.737499999999997</v>
      </c>
      <c r="H5667" s="39">
        <f>SUM(G5667:G5667)</f>
        <v>56.737499999999997</v>
      </c>
      <c r="I5667" s="40"/>
      <c r="J5667" s="155">
        <v>0</v>
      </c>
    </row>
    <row r="5668" spans="1:10" ht="15" hidden="1" thickBot="1" x14ac:dyDescent="0.35">
      <c r="A5668" s="222"/>
      <c r="B5668" s="225"/>
      <c r="C5668" s="55"/>
      <c r="D5668" s="166"/>
      <c r="E5668" s="66"/>
      <c r="F5668" s="76" t="s">
        <v>560</v>
      </c>
      <c r="G5668" s="76" t="str">
        <f t="shared" si="99"/>
        <v/>
      </c>
      <c r="H5668" s="77"/>
      <c r="I5668" s="74"/>
      <c r="J5668" s="155">
        <v>0</v>
      </c>
    </row>
    <row r="5669" spans="1:10" ht="15" hidden="1" thickBot="1" x14ac:dyDescent="0.35">
      <c r="A5669" s="220" t="s">
        <v>2263</v>
      </c>
      <c r="B5669" s="223" t="e">
        <f>INDEX(#REF!,MATCH(Composições!A5669,#REF!,0),2)</f>
        <v>#REF!</v>
      </c>
      <c r="C5669" s="41"/>
      <c r="D5669" s="26" t="e">
        <f>TRIM(INDEX(#REF!,MATCH(Composições!A5669,#REF!,0),1))</f>
        <v>#REF!</v>
      </c>
      <c r="E5669" s="27"/>
      <c r="F5669" s="49" t="s">
        <v>560</v>
      </c>
      <c r="G5669" s="28" t="str">
        <f t="shared" si="99"/>
        <v/>
      </c>
      <c r="H5669" s="29"/>
      <c r="I5669" s="30"/>
      <c r="J5669" s="155">
        <v>0</v>
      </c>
    </row>
    <row r="5670" spans="1:10" ht="15" hidden="1" thickBot="1" x14ac:dyDescent="0.35">
      <c r="A5670" s="221"/>
      <c r="B5670" s="224"/>
      <c r="C5670" s="170"/>
      <c r="D5670" s="170"/>
      <c r="E5670" s="171"/>
      <c r="F5670" s="54" t="s">
        <v>560</v>
      </c>
      <c r="G5670" s="54" t="str">
        <f t="shared" si="99"/>
        <v/>
      </c>
      <c r="H5670" s="73"/>
      <c r="I5670" s="74"/>
      <c r="J5670" s="155">
        <v>0</v>
      </c>
    </row>
    <row r="5671" spans="1:10" ht="27" hidden="1" thickBot="1" x14ac:dyDescent="0.35">
      <c r="A5671" s="221"/>
      <c r="B5671" s="224"/>
      <c r="C5671" s="36" t="s">
        <v>1810</v>
      </c>
      <c r="D5671" s="163" t="s">
        <v>20</v>
      </c>
      <c r="E5671" s="164">
        <v>1</v>
      </c>
      <c r="F5671" s="31">
        <v>9.18</v>
      </c>
      <c r="G5671" s="54">
        <f t="shared" si="99"/>
        <v>9.18</v>
      </c>
      <c r="H5671" s="39">
        <f>SUM(G5671:G5671)</f>
        <v>9.18</v>
      </c>
      <c r="I5671" s="40"/>
      <c r="J5671" s="155">
        <v>0</v>
      </c>
    </row>
    <row r="5672" spans="1:10" ht="15" hidden="1" thickBot="1" x14ac:dyDescent="0.35">
      <c r="A5672" s="222"/>
      <c r="B5672" s="225"/>
      <c r="C5672" s="55"/>
      <c r="D5672" s="166"/>
      <c r="E5672" s="66"/>
      <c r="F5672" s="76" t="s">
        <v>560</v>
      </c>
      <c r="G5672" s="76" t="str">
        <f t="shared" si="99"/>
        <v/>
      </c>
      <c r="H5672" s="77"/>
      <c r="I5672" s="74"/>
      <c r="J5672" s="155">
        <v>0</v>
      </c>
    </row>
    <row r="5673" spans="1:10" ht="15" hidden="1" thickBot="1" x14ac:dyDescent="0.35">
      <c r="A5673" s="220" t="s">
        <v>2264</v>
      </c>
      <c r="B5673" s="223" t="e">
        <f>INDEX(#REF!,MATCH(Composições!A5673,#REF!,0),2)</f>
        <v>#REF!</v>
      </c>
      <c r="C5673" s="41"/>
      <c r="D5673" s="26" t="e">
        <f>TRIM(INDEX(#REF!,MATCH(Composições!A5673,#REF!,0),1))</f>
        <v>#REF!</v>
      </c>
      <c r="E5673" s="27"/>
      <c r="F5673" s="49" t="s">
        <v>560</v>
      </c>
      <c r="G5673" s="28" t="str">
        <f t="shared" si="99"/>
        <v/>
      </c>
      <c r="H5673" s="29"/>
      <c r="I5673" s="30"/>
      <c r="J5673" s="155">
        <v>0</v>
      </c>
    </row>
    <row r="5674" spans="1:10" ht="15" hidden="1" thickBot="1" x14ac:dyDescent="0.35">
      <c r="A5674" s="221"/>
      <c r="B5674" s="224"/>
      <c r="C5674" s="170"/>
      <c r="D5674" s="170"/>
      <c r="E5674" s="171"/>
      <c r="F5674" s="54" t="s">
        <v>560</v>
      </c>
      <c r="G5674" s="54" t="str">
        <f t="shared" si="99"/>
        <v/>
      </c>
      <c r="H5674" s="73"/>
      <c r="I5674" s="74"/>
      <c r="J5674" s="155">
        <v>0</v>
      </c>
    </row>
    <row r="5675" spans="1:10" ht="27" hidden="1" thickBot="1" x14ac:dyDescent="0.35">
      <c r="A5675" s="221"/>
      <c r="B5675" s="224"/>
      <c r="C5675" s="36" t="s">
        <v>1768</v>
      </c>
      <c r="D5675" s="163" t="s">
        <v>20</v>
      </c>
      <c r="E5675" s="164">
        <v>1</v>
      </c>
      <c r="F5675" s="31">
        <v>56.286999999999999</v>
      </c>
      <c r="G5675" s="54">
        <f t="shared" si="99"/>
        <v>56.286999999999999</v>
      </c>
      <c r="H5675" s="39">
        <f>SUM(G5675:G5675)</f>
        <v>56.286999999999999</v>
      </c>
      <c r="I5675" s="40"/>
      <c r="J5675" s="155">
        <v>0</v>
      </c>
    </row>
    <row r="5676" spans="1:10" ht="15" hidden="1" thickBot="1" x14ac:dyDescent="0.35">
      <c r="A5676" s="222"/>
      <c r="B5676" s="225"/>
      <c r="C5676" s="55"/>
      <c r="D5676" s="166"/>
      <c r="E5676" s="66"/>
      <c r="F5676" s="76" t="s">
        <v>560</v>
      </c>
      <c r="G5676" s="76" t="str">
        <f t="shared" si="99"/>
        <v/>
      </c>
      <c r="H5676" s="77"/>
      <c r="I5676" s="74"/>
      <c r="J5676" s="155">
        <v>0</v>
      </c>
    </row>
    <row r="5677" spans="1:10" ht="15" hidden="1" thickBot="1" x14ac:dyDescent="0.35">
      <c r="A5677" s="220" t="s">
        <v>2265</v>
      </c>
      <c r="B5677" s="223" t="e">
        <f>INDEX(#REF!,MATCH(Composições!A5677,#REF!,0),2)</f>
        <v>#REF!</v>
      </c>
      <c r="C5677" s="41"/>
      <c r="D5677" s="26" t="e">
        <f>TRIM(INDEX(#REF!,MATCH(Composições!A5677,#REF!,0),1))</f>
        <v>#REF!</v>
      </c>
      <c r="E5677" s="27"/>
      <c r="F5677" s="49" t="s">
        <v>560</v>
      </c>
      <c r="G5677" s="28" t="str">
        <f t="shared" si="99"/>
        <v/>
      </c>
      <c r="H5677" s="29"/>
      <c r="I5677" s="30"/>
      <c r="J5677" s="155">
        <v>0</v>
      </c>
    </row>
    <row r="5678" spans="1:10" ht="15" hidden="1" thickBot="1" x14ac:dyDescent="0.35">
      <c r="A5678" s="221"/>
      <c r="B5678" s="224"/>
      <c r="C5678" s="170"/>
      <c r="D5678" s="170"/>
      <c r="E5678" s="171"/>
      <c r="F5678" s="54" t="s">
        <v>560</v>
      </c>
      <c r="G5678" s="54" t="str">
        <f t="shared" si="99"/>
        <v/>
      </c>
      <c r="H5678" s="73"/>
      <c r="I5678" s="74"/>
      <c r="J5678" s="155">
        <v>0</v>
      </c>
    </row>
    <row r="5679" spans="1:10" ht="40.200000000000003" hidden="1" thickBot="1" x14ac:dyDescent="0.35">
      <c r="A5679" s="221"/>
      <c r="B5679" s="224"/>
      <c r="C5679" s="36" t="s">
        <v>1753</v>
      </c>
      <c r="D5679" s="163" t="s">
        <v>20</v>
      </c>
      <c r="E5679" s="164">
        <v>1</v>
      </c>
      <c r="F5679" s="31">
        <v>15.588999999999999</v>
      </c>
      <c r="G5679" s="54">
        <f t="shared" si="99"/>
        <v>15.588999999999999</v>
      </c>
      <c r="H5679" s="39">
        <f>SUM(G5679:G5679)</f>
        <v>15.588999999999999</v>
      </c>
      <c r="I5679" s="40"/>
      <c r="J5679" s="155">
        <v>0</v>
      </c>
    </row>
    <row r="5680" spans="1:10" ht="15" hidden="1" thickBot="1" x14ac:dyDescent="0.35">
      <c r="A5680" s="222"/>
      <c r="B5680" s="225"/>
      <c r="C5680" s="55"/>
      <c r="D5680" s="166"/>
      <c r="E5680" s="66"/>
      <c r="F5680" s="76" t="s">
        <v>560</v>
      </c>
      <c r="G5680" s="76" t="str">
        <f t="shared" si="99"/>
        <v/>
      </c>
      <c r="H5680" s="77"/>
      <c r="I5680" s="74"/>
      <c r="J5680" s="155">
        <v>0</v>
      </c>
    </row>
    <row r="5681" spans="1:10" ht="15" hidden="1" thickBot="1" x14ac:dyDescent="0.35">
      <c r="A5681" s="220" t="s">
        <v>2266</v>
      </c>
      <c r="B5681" s="223" t="e">
        <f>INDEX(#REF!,MATCH(Composições!A5681,#REF!,0),2)</f>
        <v>#REF!</v>
      </c>
      <c r="C5681" s="41"/>
      <c r="D5681" s="26" t="e">
        <f>TRIM(INDEX(#REF!,MATCH(Composições!A5681,#REF!,0),1))</f>
        <v>#REF!</v>
      </c>
      <c r="E5681" s="27"/>
      <c r="F5681" s="49" t="s">
        <v>560</v>
      </c>
      <c r="G5681" s="28" t="str">
        <f t="shared" si="99"/>
        <v/>
      </c>
      <c r="H5681" s="29"/>
      <c r="I5681" s="30"/>
      <c r="J5681" s="155">
        <v>0</v>
      </c>
    </row>
    <row r="5682" spans="1:10" ht="15" hidden="1" thickBot="1" x14ac:dyDescent="0.35">
      <c r="A5682" s="221"/>
      <c r="B5682" s="224"/>
      <c r="C5682" s="170"/>
      <c r="D5682" s="170"/>
      <c r="E5682" s="171"/>
      <c r="F5682" s="54" t="s">
        <v>560</v>
      </c>
      <c r="G5682" s="54" t="str">
        <f t="shared" si="99"/>
        <v/>
      </c>
      <c r="H5682" s="73"/>
      <c r="I5682" s="74"/>
      <c r="J5682" s="155">
        <v>0</v>
      </c>
    </row>
    <row r="5683" spans="1:10" ht="27" hidden="1" thickBot="1" x14ac:dyDescent="0.35">
      <c r="A5683" s="221"/>
      <c r="B5683" s="224"/>
      <c r="C5683" s="36" t="s">
        <v>1746</v>
      </c>
      <c r="D5683" s="163" t="s">
        <v>20</v>
      </c>
      <c r="E5683" s="164">
        <v>1</v>
      </c>
      <c r="F5683" s="31">
        <v>68.408000000000001</v>
      </c>
      <c r="G5683" s="54">
        <f t="shared" si="99"/>
        <v>68.408000000000001</v>
      </c>
      <c r="H5683" s="39">
        <f>SUM(G5683:G5683)</f>
        <v>68.408000000000001</v>
      </c>
      <c r="I5683" s="40"/>
      <c r="J5683" s="155">
        <v>0</v>
      </c>
    </row>
    <row r="5684" spans="1:10" ht="15" hidden="1" thickBot="1" x14ac:dyDescent="0.35">
      <c r="A5684" s="222"/>
      <c r="B5684" s="225"/>
      <c r="C5684" s="55"/>
      <c r="D5684" s="166"/>
      <c r="E5684" s="66"/>
      <c r="F5684" s="76" t="s">
        <v>560</v>
      </c>
      <c r="G5684" s="76" t="str">
        <f t="shared" si="99"/>
        <v/>
      </c>
      <c r="H5684" s="77"/>
      <c r="I5684" s="74"/>
      <c r="J5684" s="155">
        <v>0</v>
      </c>
    </row>
    <row r="5685" spans="1:10" ht="15" hidden="1" thickBot="1" x14ac:dyDescent="0.35">
      <c r="A5685" s="220" t="s">
        <v>2267</v>
      </c>
      <c r="B5685" s="223" t="e">
        <f>INDEX(#REF!,MATCH(Composições!A5685,#REF!,0),2)</f>
        <v>#REF!</v>
      </c>
      <c r="C5685" s="41"/>
      <c r="D5685" s="26" t="e">
        <f>TRIM(INDEX(#REF!,MATCH(Composições!A5685,#REF!,0),1))</f>
        <v>#REF!</v>
      </c>
      <c r="E5685" s="27"/>
      <c r="F5685" s="49" t="s">
        <v>560</v>
      </c>
      <c r="G5685" s="28" t="str">
        <f t="shared" si="99"/>
        <v/>
      </c>
      <c r="H5685" s="29"/>
      <c r="I5685" s="30"/>
      <c r="J5685" s="155">
        <v>0</v>
      </c>
    </row>
    <row r="5686" spans="1:10" ht="15" hidden="1" thickBot="1" x14ac:dyDescent="0.35">
      <c r="A5686" s="221"/>
      <c r="B5686" s="224"/>
      <c r="C5686" s="170"/>
      <c r="D5686" s="170"/>
      <c r="E5686" s="171"/>
      <c r="F5686" s="54" t="s">
        <v>560</v>
      </c>
      <c r="G5686" s="54" t="str">
        <f t="shared" si="99"/>
        <v/>
      </c>
      <c r="H5686" s="73"/>
      <c r="I5686" s="74"/>
      <c r="J5686" s="155">
        <v>0</v>
      </c>
    </row>
    <row r="5687" spans="1:10" ht="27" hidden="1" thickBot="1" x14ac:dyDescent="0.35">
      <c r="A5687" s="221"/>
      <c r="B5687" s="224"/>
      <c r="C5687" s="36" t="s">
        <v>1811</v>
      </c>
      <c r="D5687" s="163" t="s">
        <v>20</v>
      </c>
      <c r="E5687" s="164">
        <v>1</v>
      </c>
      <c r="F5687" s="31">
        <v>13.982499999999998</v>
      </c>
      <c r="G5687" s="54">
        <f t="shared" si="99"/>
        <v>13.982499999999998</v>
      </c>
      <c r="H5687" s="39">
        <f>SUM(G5687:G5687)</f>
        <v>13.982499999999998</v>
      </c>
      <c r="I5687" s="40"/>
      <c r="J5687" s="155">
        <v>0</v>
      </c>
    </row>
    <row r="5688" spans="1:10" ht="15" hidden="1" thickBot="1" x14ac:dyDescent="0.35">
      <c r="A5688" s="222"/>
      <c r="B5688" s="225"/>
      <c r="C5688" s="55"/>
      <c r="D5688" s="166"/>
      <c r="E5688" s="66"/>
      <c r="F5688" s="76" t="s">
        <v>560</v>
      </c>
      <c r="G5688" s="76" t="str">
        <f t="shared" si="99"/>
        <v/>
      </c>
      <c r="H5688" s="77"/>
      <c r="I5688" s="74"/>
      <c r="J5688" s="155">
        <v>0</v>
      </c>
    </row>
    <row r="5689" spans="1:10" ht="15" hidden="1" thickBot="1" x14ac:dyDescent="0.35">
      <c r="A5689" s="220" t="s">
        <v>2268</v>
      </c>
      <c r="B5689" s="223" t="e">
        <f>INDEX(#REF!,MATCH(Composições!A5689,#REF!,0),2)</f>
        <v>#REF!</v>
      </c>
      <c r="C5689" s="41"/>
      <c r="D5689" s="26" t="e">
        <f>TRIM(INDEX(#REF!,MATCH(Composições!A5689,#REF!,0),1))</f>
        <v>#REF!</v>
      </c>
      <c r="E5689" s="27"/>
      <c r="F5689" s="49" t="s">
        <v>560</v>
      </c>
      <c r="G5689" s="28" t="str">
        <f t="shared" si="99"/>
        <v/>
      </c>
      <c r="H5689" s="29"/>
      <c r="I5689" s="30"/>
      <c r="J5689" s="155">
        <v>0</v>
      </c>
    </row>
    <row r="5690" spans="1:10" ht="15" hidden="1" thickBot="1" x14ac:dyDescent="0.35">
      <c r="A5690" s="221"/>
      <c r="B5690" s="224"/>
      <c r="C5690" s="170"/>
      <c r="D5690" s="170"/>
      <c r="E5690" s="171"/>
      <c r="F5690" s="54" t="s">
        <v>560</v>
      </c>
      <c r="G5690" s="54" t="str">
        <f t="shared" si="99"/>
        <v/>
      </c>
      <c r="H5690" s="73"/>
      <c r="I5690" s="74"/>
      <c r="J5690" s="155">
        <v>0</v>
      </c>
    </row>
    <row r="5691" spans="1:10" ht="27" hidden="1" thickBot="1" x14ac:dyDescent="0.35">
      <c r="A5691" s="221"/>
      <c r="B5691" s="224"/>
      <c r="C5691" s="36" t="s">
        <v>1769</v>
      </c>
      <c r="D5691" s="163" t="s">
        <v>20</v>
      </c>
      <c r="E5691" s="164">
        <v>1</v>
      </c>
      <c r="F5691" s="31">
        <v>73.899000000000001</v>
      </c>
      <c r="G5691" s="54">
        <f t="shared" si="99"/>
        <v>73.899000000000001</v>
      </c>
      <c r="H5691" s="39">
        <f>SUM(G5691:G5691)</f>
        <v>73.899000000000001</v>
      </c>
      <c r="I5691" s="40"/>
      <c r="J5691" s="155">
        <v>0</v>
      </c>
    </row>
    <row r="5692" spans="1:10" ht="15" hidden="1" thickBot="1" x14ac:dyDescent="0.35">
      <c r="A5692" s="222"/>
      <c r="B5692" s="225"/>
      <c r="C5692" s="55"/>
      <c r="D5692" s="166"/>
      <c r="E5692" s="66"/>
      <c r="F5692" s="76" t="s">
        <v>560</v>
      </c>
      <c r="G5692" s="76" t="str">
        <f t="shared" si="99"/>
        <v/>
      </c>
      <c r="H5692" s="77"/>
      <c r="I5692" s="74"/>
      <c r="J5692" s="155">
        <v>0</v>
      </c>
    </row>
    <row r="5693" spans="1:10" ht="15" hidden="1" thickBot="1" x14ac:dyDescent="0.35">
      <c r="A5693" s="220" t="s">
        <v>2269</v>
      </c>
      <c r="B5693" s="223" t="e">
        <f>INDEX(#REF!,MATCH(Composições!A5693,#REF!,0),2)</f>
        <v>#REF!</v>
      </c>
      <c r="C5693" s="41"/>
      <c r="D5693" s="26" t="e">
        <f>TRIM(INDEX(#REF!,MATCH(Composições!A5693,#REF!,0),1))</f>
        <v>#REF!</v>
      </c>
      <c r="E5693" s="27"/>
      <c r="F5693" s="49" t="s">
        <v>560</v>
      </c>
      <c r="G5693" s="28" t="str">
        <f t="shared" si="99"/>
        <v/>
      </c>
      <c r="H5693" s="29"/>
      <c r="I5693" s="30"/>
      <c r="J5693" s="155">
        <v>0</v>
      </c>
    </row>
    <row r="5694" spans="1:10" ht="15" hidden="1" thickBot="1" x14ac:dyDescent="0.35">
      <c r="A5694" s="221"/>
      <c r="B5694" s="224"/>
      <c r="C5694" s="170"/>
      <c r="D5694" s="170"/>
      <c r="E5694" s="171"/>
      <c r="F5694" s="54" t="s">
        <v>560</v>
      </c>
      <c r="G5694" s="54" t="str">
        <f t="shared" si="99"/>
        <v/>
      </c>
      <c r="H5694" s="73"/>
      <c r="I5694" s="74"/>
      <c r="J5694" s="155">
        <v>0</v>
      </c>
    </row>
    <row r="5695" spans="1:10" ht="40.200000000000003" hidden="1" thickBot="1" x14ac:dyDescent="0.35">
      <c r="A5695" s="221"/>
      <c r="B5695" s="224"/>
      <c r="C5695" s="36" t="s">
        <v>1754</v>
      </c>
      <c r="D5695" s="163" t="s">
        <v>20</v>
      </c>
      <c r="E5695" s="164">
        <v>1</v>
      </c>
      <c r="F5695" s="31">
        <v>24.4375</v>
      </c>
      <c r="G5695" s="54">
        <f t="shared" si="99"/>
        <v>24.4375</v>
      </c>
      <c r="H5695" s="39">
        <f>SUM(G5695:G5695)</f>
        <v>24.4375</v>
      </c>
      <c r="I5695" s="40"/>
      <c r="J5695" s="155">
        <v>0</v>
      </c>
    </row>
    <row r="5696" spans="1:10" ht="15" hidden="1" thickBot="1" x14ac:dyDescent="0.35">
      <c r="A5696" s="222"/>
      <c r="B5696" s="225"/>
      <c r="C5696" s="55"/>
      <c r="D5696" s="166"/>
      <c r="E5696" s="66"/>
      <c r="F5696" s="76" t="s">
        <v>560</v>
      </c>
      <c r="G5696" s="76" t="str">
        <f t="shared" si="99"/>
        <v/>
      </c>
      <c r="H5696" s="77"/>
      <c r="I5696" s="74"/>
      <c r="J5696" s="155">
        <v>0</v>
      </c>
    </row>
    <row r="5697" spans="1:10" ht="15" hidden="1" thickBot="1" x14ac:dyDescent="0.35">
      <c r="A5697" s="220" t="s">
        <v>2270</v>
      </c>
      <c r="B5697" s="223" t="e">
        <f>INDEX(#REF!,MATCH(Composições!A5697,#REF!,0),2)</f>
        <v>#REF!</v>
      </c>
      <c r="C5697" s="41"/>
      <c r="D5697" s="26" t="e">
        <f>TRIM(INDEX(#REF!,MATCH(Composições!A5697,#REF!,0),1))</f>
        <v>#REF!</v>
      </c>
      <c r="E5697" s="27"/>
      <c r="F5697" s="49" t="s">
        <v>560</v>
      </c>
      <c r="G5697" s="28" t="str">
        <f t="shared" si="99"/>
        <v/>
      </c>
      <c r="H5697" s="29"/>
      <c r="I5697" s="30"/>
      <c r="J5697" s="155">
        <v>0</v>
      </c>
    </row>
    <row r="5698" spans="1:10" ht="15" hidden="1" thickBot="1" x14ac:dyDescent="0.35">
      <c r="A5698" s="221"/>
      <c r="B5698" s="224"/>
      <c r="C5698" s="170"/>
      <c r="D5698" s="170"/>
      <c r="E5698" s="171"/>
      <c r="F5698" s="54" t="s">
        <v>560</v>
      </c>
      <c r="G5698" s="54" t="str">
        <f t="shared" si="99"/>
        <v/>
      </c>
      <c r="H5698" s="73"/>
      <c r="I5698" s="74"/>
      <c r="J5698" s="155">
        <v>0</v>
      </c>
    </row>
    <row r="5699" spans="1:10" ht="27" hidden="1" thickBot="1" x14ac:dyDescent="0.35">
      <c r="A5699" s="221"/>
      <c r="B5699" s="224"/>
      <c r="C5699" s="36" t="s">
        <v>1747</v>
      </c>
      <c r="D5699" s="163" t="s">
        <v>20</v>
      </c>
      <c r="E5699" s="164">
        <v>1</v>
      </c>
      <c r="F5699" s="31">
        <v>125.9105</v>
      </c>
      <c r="G5699" s="54">
        <f t="shared" si="99"/>
        <v>125.9105</v>
      </c>
      <c r="H5699" s="39">
        <f>SUM(G5699:G5699)</f>
        <v>125.9105</v>
      </c>
      <c r="I5699" s="40"/>
      <c r="J5699" s="155">
        <v>0</v>
      </c>
    </row>
    <row r="5700" spans="1:10" ht="15" hidden="1" thickBot="1" x14ac:dyDescent="0.35">
      <c r="A5700" s="222"/>
      <c r="B5700" s="225"/>
      <c r="C5700" s="55"/>
      <c r="D5700" s="166"/>
      <c r="E5700" s="66"/>
      <c r="F5700" s="76" t="s">
        <v>560</v>
      </c>
      <c r="G5700" s="76" t="str">
        <f t="shared" si="99"/>
        <v/>
      </c>
      <c r="H5700" s="77"/>
      <c r="I5700" s="74"/>
      <c r="J5700" s="155">
        <v>0</v>
      </c>
    </row>
    <row r="5701" spans="1:10" ht="15" hidden="1" thickBot="1" x14ac:dyDescent="0.35">
      <c r="A5701" s="220" t="s">
        <v>2271</v>
      </c>
      <c r="B5701" s="223" t="e">
        <f>INDEX(#REF!,MATCH(Composições!A5701,#REF!,0),2)</f>
        <v>#REF!</v>
      </c>
      <c r="C5701" s="41"/>
      <c r="D5701" s="26" t="e">
        <f>TRIM(INDEX(#REF!,MATCH(Composições!A5701,#REF!,0),1))</f>
        <v>#REF!</v>
      </c>
      <c r="E5701" s="27"/>
      <c r="F5701" s="49" t="s">
        <v>560</v>
      </c>
      <c r="G5701" s="28" t="str">
        <f t="shared" si="99"/>
        <v/>
      </c>
      <c r="H5701" s="29"/>
      <c r="I5701" s="30"/>
      <c r="J5701" s="155">
        <v>0</v>
      </c>
    </row>
    <row r="5702" spans="1:10" ht="15" hidden="1" thickBot="1" x14ac:dyDescent="0.35">
      <c r="A5702" s="221"/>
      <c r="B5702" s="224"/>
      <c r="C5702" s="170"/>
      <c r="D5702" s="170"/>
      <c r="E5702" s="171"/>
      <c r="F5702" s="54" t="s">
        <v>560</v>
      </c>
      <c r="G5702" s="54" t="str">
        <f t="shared" si="99"/>
        <v/>
      </c>
      <c r="H5702" s="73"/>
      <c r="I5702" s="74"/>
      <c r="J5702" s="155">
        <v>0</v>
      </c>
    </row>
    <row r="5703" spans="1:10" ht="27" hidden="1" thickBot="1" x14ac:dyDescent="0.35">
      <c r="A5703" s="221"/>
      <c r="B5703" s="224"/>
      <c r="C5703" s="36" t="s">
        <v>1803</v>
      </c>
      <c r="D5703" s="163" t="s">
        <v>20</v>
      </c>
      <c r="E5703" s="164">
        <v>1</v>
      </c>
      <c r="F5703" s="31">
        <v>22.065999999999999</v>
      </c>
      <c r="G5703" s="54">
        <f t="shared" si="99"/>
        <v>22.065999999999999</v>
      </c>
      <c r="H5703" s="39">
        <f>SUM(G5703:G5703)</f>
        <v>22.065999999999999</v>
      </c>
      <c r="I5703" s="40"/>
      <c r="J5703" s="155">
        <v>0</v>
      </c>
    </row>
    <row r="5704" spans="1:10" ht="15" hidden="1" thickBot="1" x14ac:dyDescent="0.35">
      <c r="A5704" s="222"/>
      <c r="B5704" s="225"/>
      <c r="C5704" s="55"/>
      <c r="D5704" s="166"/>
      <c r="E5704" s="66"/>
      <c r="F5704" s="76" t="s">
        <v>560</v>
      </c>
      <c r="G5704" s="76" t="str">
        <f t="shared" si="99"/>
        <v/>
      </c>
      <c r="H5704" s="77"/>
      <c r="I5704" s="74"/>
      <c r="J5704" s="155">
        <v>0</v>
      </c>
    </row>
    <row r="5705" spans="1:10" ht="15" hidden="1" thickBot="1" x14ac:dyDescent="0.35">
      <c r="A5705" s="220" t="s">
        <v>2272</v>
      </c>
      <c r="B5705" s="223" t="e">
        <f>INDEX(#REF!,MATCH(Composições!A5705,#REF!,0),2)</f>
        <v>#REF!</v>
      </c>
      <c r="C5705" s="41"/>
      <c r="D5705" s="26" t="e">
        <f>TRIM(INDEX(#REF!,MATCH(Composições!A5705,#REF!,0),1))</f>
        <v>#REF!</v>
      </c>
      <c r="E5705" s="27"/>
      <c r="F5705" s="49" t="s">
        <v>560</v>
      </c>
      <c r="G5705" s="28" t="str">
        <f t="shared" si="99"/>
        <v/>
      </c>
      <c r="H5705" s="29"/>
      <c r="I5705" s="30"/>
      <c r="J5705" s="155">
        <v>0</v>
      </c>
    </row>
    <row r="5706" spans="1:10" ht="15" hidden="1" thickBot="1" x14ac:dyDescent="0.35">
      <c r="A5706" s="221"/>
      <c r="B5706" s="224"/>
      <c r="C5706" s="170"/>
      <c r="D5706" s="170"/>
      <c r="E5706" s="171"/>
      <c r="F5706" s="54" t="s">
        <v>560</v>
      </c>
      <c r="G5706" s="54" t="str">
        <f t="shared" si="99"/>
        <v/>
      </c>
      <c r="H5706" s="73"/>
      <c r="I5706" s="74"/>
      <c r="J5706" s="155">
        <v>0</v>
      </c>
    </row>
    <row r="5707" spans="1:10" ht="27" hidden="1" thickBot="1" x14ac:dyDescent="0.35">
      <c r="A5707" s="221"/>
      <c r="B5707" s="224"/>
      <c r="C5707" s="36" t="s">
        <v>1761</v>
      </c>
      <c r="D5707" s="163" t="s">
        <v>20</v>
      </c>
      <c r="E5707" s="164">
        <v>1</v>
      </c>
      <c r="F5707" s="31">
        <v>125.33249999999998</v>
      </c>
      <c r="G5707" s="54">
        <f t="shared" si="99"/>
        <v>125.33249999999998</v>
      </c>
      <c r="H5707" s="39">
        <f>SUM(G5707:G5707)</f>
        <v>125.33249999999998</v>
      </c>
      <c r="I5707" s="40"/>
      <c r="J5707" s="155">
        <v>0</v>
      </c>
    </row>
    <row r="5708" spans="1:10" ht="15" hidden="1" thickBot="1" x14ac:dyDescent="0.35">
      <c r="A5708" s="222"/>
      <c r="B5708" s="225"/>
      <c r="C5708" s="55"/>
      <c r="D5708" s="166"/>
      <c r="E5708" s="66"/>
      <c r="F5708" s="76" t="s">
        <v>560</v>
      </c>
      <c r="G5708" s="76" t="str">
        <f t="shared" si="99"/>
        <v/>
      </c>
      <c r="H5708" s="77"/>
      <c r="I5708" s="74"/>
      <c r="J5708" s="155">
        <v>0</v>
      </c>
    </row>
    <row r="5709" spans="1:10" ht="15" hidden="1" thickBot="1" x14ac:dyDescent="0.35">
      <c r="A5709" s="220" t="s">
        <v>2273</v>
      </c>
      <c r="B5709" s="223" t="e">
        <f>INDEX(#REF!,MATCH(Composições!A5709,#REF!,0),2)</f>
        <v>#REF!</v>
      </c>
      <c r="C5709" s="41"/>
      <c r="D5709" s="26" t="e">
        <f>TRIM(INDEX(#REF!,MATCH(Composições!A5709,#REF!,0),1))</f>
        <v>#REF!</v>
      </c>
      <c r="E5709" s="27"/>
      <c r="F5709" s="49" t="s">
        <v>560</v>
      </c>
      <c r="G5709" s="28" t="str">
        <f t="shared" si="99"/>
        <v/>
      </c>
      <c r="H5709" s="29"/>
      <c r="I5709" s="30"/>
      <c r="J5709" s="155">
        <v>0</v>
      </c>
    </row>
    <row r="5710" spans="1:10" ht="15" hidden="1" thickBot="1" x14ac:dyDescent="0.35">
      <c r="A5710" s="221"/>
      <c r="B5710" s="224"/>
      <c r="C5710" s="170"/>
      <c r="D5710" s="170"/>
      <c r="E5710" s="171"/>
      <c r="F5710" s="54" t="s">
        <v>560</v>
      </c>
      <c r="G5710" s="54" t="str">
        <f t="shared" si="99"/>
        <v/>
      </c>
      <c r="H5710" s="73"/>
      <c r="I5710" s="74"/>
      <c r="J5710" s="155">
        <v>0</v>
      </c>
    </row>
    <row r="5711" spans="1:10" ht="27" hidden="1" thickBot="1" x14ac:dyDescent="0.35">
      <c r="A5711" s="221"/>
      <c r="B5711" s="224"/>
      <c r="C5711" s="36" t="s">
        <v>1781</v>
      </c>
      <c r="D5711" s="163" t="s">
        <v>93</v>
      </c>
      <c r="E5711" s="164">
        <v>1</v>
      </c>
      <c r="F5711" s="31">
        <v>2.9664999999999999</v>
      </c>
      <c r="G5711" s="54">
        <f t="shared" si="99"/>
        <v>2.9664999999999999</v>
      </c>
      <c r="H5711" s="39">
        <f>SUM(G5711:G5711)</f>
        <v>2.9664999999999999</v>
      </c>
      <c r="I5711" s="40"/>
      <c r="J5711" s="155">
        <v>0</v>
      </c>
    </row>
    <row r="5712" spans="1:10" ht="15" hidden="1" thickBot="1" x14ac:dyDescent="0.35">
      <c r="A5712" s="222"/>
      <c r="B5712" s="225"/>
      <c r="C5712" s="55"/>
      <c r="D5712" s="166"/>
      <c r="E5712" s="66"/>
      <c r="F5712" s="76" t="s">
        <v>560</v>
      </c>
      <c r="G5712" s="76" t="str">
        <f t="shared" si="99"/>
        <v/>
      </c>
      <c r="H5712" s="77"/>
      <c r="I5712" s="74"/>
      <c r="J5712" s="155">
        <v>0</v>
      </c>
    </row>
    <row r="5713" spans="1:10" ht="15" hidden="1" thickBot="1" x14ac:dyDescent="0.35">
      <c r="A5713" s="220" t="s">
        <v>2274</v>
      </c>
      <c r="B5713" s="223" t="e">
        <f>INDEX(#REF!,MATCH(Composições!A5713,#REF!,0),2)</f>
        <v>#REF!</v>
      </c>
      <c r="C5713" s="41"/>
      <c r="D5713" s="26" t="e">
        <f>TRIM(INDEX(#REF!,MATCH(Composições!A5713,#REF!,0),1))</f>
        <v>#REF!</v>
      </c>
      <c r="E5713" s="27"/>
      <c r="F5713" s="49" t="s">
        <v>560</v>
      </c>
      <c r="G5713" s="28" t="str">
        <f t="shared" si="99"/>
        <v/>
      </c>
      <c r="H5713" s="29"/>
      <c r="I5713" s="30"/>
      <c r="J5713" s="155">
        <v>0</v>
      </c>
    </row>
    <row r="5714" spans="1:10" ht="15" hidden="1" thickBot="1" x14ac:dyDescent="0.35">
      <c r="A5714" s="221"/>
      <c r="B5714" s="224"/>
      <c r="C5714" s="170"/>
      <c r="D5714" s="170"/>
      <c r="E5714" s="171"/>
      <c r="F5714" s="54" t="s">
        <v>560</v>
      </c>
      <c r="G5714" s="54" t="str">
        <f t="shared" si="99"/>
        <v/>
      </c>
      <c r="H5714" s="73"/>
      <c r="I5714" s="74"/>
      <c r="J5714" s="155">
        <v>0</v>
      </c>
    </row>
    <row r="5715" spans="1:10" ht="27" hidden="1" thickBot="1" x14ac:dyDescent="0.35">
      <c r="A5715" s="221"/>
      <c r="B5715" s="224"/>
      <c r="C5715" s="36" t="s">
        <v>1782</v>
      </c>
      <c r="D5715" s="163" t="s">
        <v>93</v>
      </c>
      <c r="E5715" s="164">
        <v>1</v>
      </c>
      <c r="F5715" s="31">
        <v>5.7119999999999997</v>
      </c>
      <c r="G5715" s="54">
        <f t="shared" si="99"/>
        <v>5.7119999999999997</v>
      </c>
      <c r="H5715" s="39">
        <f>SUM(G5715:G5715)</f>
        <v>5.7119999999999997</v>
      </c>
      <c r="I5715" s="40"/>
      <c r="J5715" s="155">
        <v>0</v>
      </c>
    </row>
    <row r="5716" spans="1:10" ht="15" hidden="1" thickBot="1" x14ac:dyDescent="0.35">
      <c r="A5716" s="222"/>
      <c r="B5716" s="225"/>
      <c r="C5716" s="55"/>
      <c r="D5716" s="166"/>
      <c r="E5716" s="66"/>
      <c r="F5716" s="76" t="s">
        <v>560</v>
      </c>
      <c r="G5716" s="76" t="str">
        <f t="shared" si="99"/>
        <v/>
      </c>
      <c r="H5716" s="77"/>
      <c r="I5716" s="74"/>
      <c r="J5716" s="155">
        <v>0</v>
      </c>
    </row>
    <row r="5717" spans="1:10" ht="15" hidden="1" thickBot="1" x14ac:dyDescent="0.35">
      <c r="A5717" s="220" t="s">
        <v>2275</v>
      </c>
      <c r="B5717" s="223" t="e">
        <f>INDEX(#REF!,MATCH(Composições!A5717,#REF!,0),2)</f>
        <v>#REF!</v>
      </c>
      <c r="C5717" s="41"/>
      <c r="D5717" s="26" t="e">
        <f>TRIM(INDEX(#REF!,MATCH(Composições!A5717,#REF!,0),1))</f>
        <v>#REF!</v>
      </c>
      <c r="E5717" s="27"/>
      <c r="F5717" s="49" t="s">
        <v>560</v>
      </c>
      <c r="G5717" s="28" t="str">
        <f t="shared" si="99"/>
        <v/>
      </c>
      <c r="H5717" s="29"/>
      <c r="I5717" s="30"/>
      <c r="J5717" s="155">
        <v>0</v>
      </c>
    </row>
    <row r="5718" spans="1:10" ht="15" hidden="1" thickBot="1" x14ac:dyDescent="0.35">
      <c r="A5718" s="221"/>
      <c r="B5718" s="224"/>
      <c r="C5718" s="170"/>
      <c r="D5718" s="170"/>
      <c r="E5718" s="171"/>
      <c r="F5718" s="54" t="s">
        <v>560</v>
      </c>
      <c r="G5718" s="54" t="str">
        <f t="shared" si="99"/>
        <v/>
      </c>
      <c r="H5718" s="73"/>
      <c r="I5718" s="74"/>
      <c r="J5718" s="155">
        <v>0</v>
      </c>
    </row>
    <row r="5719" spans="1:10" ht="40.200000000000003" hidden="1" thickBot="1" x14ac:dyDescent="0.35">
      <c r="A5719" s="221"/>
      <c r="B5719" s="224"/>
      <c r="C5719" s="36" t="s">
        <v>1777</v>
      </c>
      <c r="D5719" s="163" t="s">
        <v>93</v>
      </c>
      <c r="E5719" s="164">
        <v>1</v>
      </c>
      <c r="F5719" s="31">
        <v>9.1120000000000001</v>
      </c>
      <c r="G5719" s="54">
        <f t="shared" si="99"/>
        <v>9.1120000000000001</v>
      </c>
      <c r="H5719" s="39">
        <f>SUM(G5719:G5719)</f>
        <v>9.1120000000000001</v>
      </c>
      <c r="I5719" s="40"/>
      <c r="J5719" s="155">
        <v>0</v>
      </c>
    </row>
    <row r="5720" spans="1:10" ht="15" hidden="1" thickBot="1" x14ac:dyDescent="0.35">
      <c r="A5720" s="222"/>
      <c r="B5720" s="225"/>
      <c r="C5720" s="55"/>
      <c r="D5720" s="166"/>
      <c r="E5720" s="66"/>
      <c r="F5720" s="76" t="s">
        <v>560</v>
      </c>
      <c r="G5720" s="76" t="str">
        <f t="shared" si="99"/>
        <v/>
      </c>
      <c r="H5720" s="77"/>
      <c r="I5720" s="74"/>
      <c r="J5720" s="155">
        <v>0</v>
      </c>
    </row>
    <row r="5721" spans="1:10" ht="15" hidden="1" thickBot="1" x14ac:dyDescent="0.35">
      <c r="A5721" s="220" t="s">
        <v>2276</v>
      </c>
      <c r="B5721" s="223" t="e">
        <f>INDEX(#REF!,MATCH(Composições!A5721,#REF!,0),2)</f>
        <v>#REF!</v>
      </c>
      <c r="C5721" s="41"/>
      <c r="D5721" s="26" t="e">
        <f>TRIM(INDEX(#REF!,MATCH(Composições!A5721,#REF!,0),1))</f>
        <v>#REF!</v>
      </c>
      <c r="E5721" s="27"/>
      <c r="F5721" s="49" t="s">
        <v>560</v>
      </c>
      <c r="G5721" s="28" t="str">
        <f t="shared" si="99"/>
        <v/>
      </c>
      <c r="H5721" s="29"/>
      <c r="I5721" s="30"/>
      <c r="J5721" s="155">
        <v>0</v>
      </c>
    </row>
    <row r="5722" spans="1:10" ht="15" hidden="1" thickBot="1" x14ac:dyDescent="0.35">
      <c r="A5722" s="221"/>
      <c r="B5722" s="224"/>
      <c r="C5722" s="170"/>
      <c r="D5722" s="170"/>
      <c r="E5722" s="171"/>
      <c r="F5722" s="54" t="s">
        <v>560</v>
      </c>
      <c r="G5722" s="54" t="str">
        <f t="shared" si="99"/>
        <v/>
      </c>
      <c r="H5722" s="73"/>
      <c r="I5722" s="74"/>
      <c r="J5722" s="155">
        <v>0</v>
      </c>
    </row>
    <row r="5723" spans="1:10" ht="40.200000000000003" hidden="1" thickBot="1" x14ac:dyDescent="0.35">
      <c r="A5723" s="221"/>
      <c r="B5723" s="224"/>
      <c r="C5723" s="36" t="s">
        <v>1778</v>
      </c>
      <c r="D5723" s="163" t="s">
        <v>93</v>
      </c>
      <c r="E5723" s="164">
        <v>1</v>
      </c>
      <c r="F5723" s="31">
        <v>11.942500000000001</v>
      </c>
      <c r="G5723" s="54">
        <f t="shared" si="99"/>
        <v>11.942500000000001</v>
      </c>
      <c r="H5723" s="39">
        <f>SUM(G5723:G5723)</f>
        <v>11.942500000000001</v>
      </c>
      <c r="I5723" s="40"/>
      <c r="J5723" s="155">
        <v>0</v>
      </c>
    </row>
    <row r="5724" spans="1:10" ht="15" hidden="1" thickBot="1" x14ac:dyDescent="0.35">
      <c r="A5724" s="222"/>
      <c r="B5724" s="225"/>
      <c r="C5724" s="55"/>
      <c r="D5724" s="166"/>
      <c r="E5724" s="66"/>
      <c r="F5724" s="76" t="s">
        <v>560</v>
      </c>
      <c r="G5724" s="76" t="str">
        <f t="shared" si="99"/>
        <v/>
      </c>
      <c r="H5724" s="77"/>
      <c r="I5724" s="74"/>
      <c r="J5724" s="155">
        <v>0</v>
      </c>
    </row>
    <row r="5725" spans="1:10" ht="15" hidden="1" thickBot="1" x14ac:dyDescent="0.35">
      <c r="A5725" s="220" t="s">
        <v>2277</v>
      </c>
      <c r="B5725" s="223" t="e">
        <f>INDEX(#REF!,MATCH(Composições!A5725,#REF!,0),2)</f>
        <v>#REF!</v>
      </c>
      <c r="C5725" s="41"/>
      <c r="D5725" s="26" t="e">
        <f>TRIM(INDEX(#REF!,MATCH(Composições!A5725,#REF!,0),1))</f>
        <v>#REF!</v>
      </c>
      <c r="E5725" s="27"/>
      <c r="F5725" s="49" t="s">
        <v>560</v>
      </c>
      <c r="G5725" s="28" t="str">
        <f t="shared" ref="G5725:G5788" si="100">IF(ISNUMBER(F5725),E5725*F5725,"")</f>
        <v/>
      </c>
      <c r="H5725" s="29"/>
      <c r="I5725" s="30"/>
      <c r="J5725" s="155">
        <v>0</v>
      </c>
    </row>
    <row r="5726" spans="1:10" ht="15" hidden="1" thickBot="1" x14ac:dyDescent="0.35">
      <c r="A5726" s="221"/>
      <c r="B5726" s="224"/>
      <c r="C5726" s="170"/>
      <c r="D5726" s="170"/>
      <c r="E5726" s="171"/>
      <c r="F5726" s="54" t="s">
        <v>560</v>
      </c>
      <c r="G5726" s="54" t="str">
        <f t="shared" si="100"/>
        <v/>
      </c>
      <c r="H5726" s="73"/>
      <c r="I5726" s="74"/>
      <c r="J5726" s="155">
        <v>0</v>
      </c>
    </row>
    <row r="5727" spans="1:10" ht="40.200000000000003" hidden="1" thickBot="1" x14ac:dyDescent="0.35">
      <c r="A5727" s="221"/>
      <c r="B5727" s="224"/>
      <c r="C5727" s="36" t="s">
        <v>1779</v>
      </c>
      <c r="D5727" s="163" t="s">
        <v>93</v>
      </c>
      <c r="E5727" s="164">
        <v>1</v>
      </c>
      <c r="F5727" s="31">
        <v>18.028500000000001</v>
      </c>
      <c r="G5727" s="54">
        <f t="shared" si="100"/>
        <v>18.028500000000001</v>
      </c>
      <c r="H5727" s="39">
        <f>SUM(G5727:G5727)</f>
        <v>18.028500000000001</v>
      </c>
      <c r="I5727" s="40"/>
      <c r="J5727" s="155">
        <v>0</v>
      </c>
    </row>
    <row r="5728" spans="1:10" ht="15" hidden="1" thickBot="1" x14ac:dyDescent="0.35">
      <c r="A5728" s="222"/>
      <c r="B5728" s="225"/>
      <c r="C5728" s="55"/>
      <c r="D5728" s="166"/>
      <c r="E5728" s="66"/>
      <c r="F5728" s="76" t="s">
        <v>560</v>
      </c>
      <c r="G5728" s="76" t="str">
        <f t="shared" si="100"/>
        <v/>
      </c>
      <c r="H5728" s="77"/>
      <c r="I5728" s="74"/>
      <c r="J5728" s="155">
        <v>0</v>
      </c>
    </row>
    <row r="5729" spans="1:10" ht="15" hidden="1" thickBot="1" x14ac:dyDescent="0.35">
      <c r="A5729" s="220" t="s">
        <v>2278</v>
      </c>
      <c r="B5729" s="223" t="e">
        <f>INDEX(#REF!,MATCH(Composições!A5729,#REF!,0),2)</f>
        <v>#REF!</v>
      </c>
      <c r="C5729" s="41"/>
      <c r="D5729" s="26" t="e">
        <f>TRIM(INDEX(#REF!,MATCH(Composições!A5729,#REF!,0),1))</f>
        <v>#REF!</v>
      </c>
      <c r="E5729" s="27"/>
      <c r="F5729" s="49" t="s">
        <v>560</v>
      </c>
      <c r="G5729" s="28" t="str">
        <f t="shared" si="100"/>
        <v/>
      </c>
      <c r="H5729" s="29"/>
      <c r="I5729" s="30"/>
      <c r="J5729" s="155">
        <v>0</v>
      </c>
    </row>
    <row r="5730" spans="1:10" ht="15" hidden="1" thickBot="1" x14ac:dyDescent="0.35">
      <c r="A5730" s="221"/>
      <c r="B5730" s="224"/>
      <c r="C5730" s="170"/>
      <c r="D5730" s="170"/>
      <c r="E5730" s="171"/>
      <c r="F5730" s="54" t="s">
        <v>560</v>
      </c>
      <c r="G5730" s="54" t="str">
        <f t="shared" si="100"/>
        <v/>
      </c>
      <c r="H5730" s="73"/>
      <c r="I5730" s="74"/>
      <c r="J5730" s="155">
        <v>0</v>
      </c>
    </row>
    <row r="5731" spans="1:10" ht="40.200000000000003" hidden="1" thickBot="1" x14ac:dyDescent="0.35">
      <c r="A5731" s="221"/>
      <c r="B5731" s="224"/>
      <c r="C5731" s="36" t="s">
        <v>1266</v>
      </c>
      <c r="D5731" s="163" t="s">
        <v>93</v>
      </c>
      <c r="E5731" s="164">
        <v>1</v>
      </c>
      <c r="F5731" s="31">
        <v>23.1965</v>
      </c>
      <c r="G5731" s="54">
        <f t="shared" si="100"/>
        <v>23.1965</v>
      </c>
      <c r="H5731" s="39">
        <f>SUM(G5731:G5731)</f>
        <v>23.1965</v>
      </c>
      <c r="I5731" s="40"/>
      <c r="J5731" s="155">
        <v>0</v>
      </c>
    </row>
    <row r="5732" spans="1:10" ht="15" hidden="1" thickBot="1" x14ac:dyDescent="0.35">
      <c r="A5732" s="222"/>
      <c r="B5732" s="225"/>
      <c r="C5732" s="55"/>
      <c r="D5732" s="166"/>
      <c r="E5732" s="66"/>
      <c r="F5732" s="76" t="s">
        <v>560</v>
      </c>
      <c r="G5732" s="76" t="str">
        <f t="shared" si="100"/>
        <v/>
      </c>
      <c r="H5732" s="77"/>
      <c r="I5732" s="74"/>
      <c r="J5732" s="155">
        <v>0</v>
      </c>
    </row>
    <row r="5733" spans="1:10" ht="15" hidden="1" thickBot="1" x14ac:dyDescent="0.35">
      <c r="A5733" s="220" t="s">
        <v>2279</v>
      </c>
      <c r="B5733" s="223" t="e">
        <f>INDEX(#REF!,MATCH(Composições!A5733,#REF!,0),2)</f>
        <v>#REF!</v>
      </c>
      <c r="C5733" s="41"/>
      <c r="D5733" s="26" t="e">
        <f>TRIM(INDEX(#REF!,MATCH(Composições!A5733,#REF!,0),1))</f>
        <v>#REF!</v>
      </c>
      <c r="E5733" s="27"/>
      <c r="F5733" s="49" t="s">
        <v>560</v>
      </c>
      <c r="G5733" s="28" t="str">
        <f t="shared" si="100"/>
        <v/>
      </c>
      <c r="H5733" s="29"/>
      <c r="I5733" s="30"/>
      <c r="J5733" s="155">
        <v>0</v>
      </c>
    </row>
    <row r="5734" spans="1:10" ht="15" hidden="1" thickBot="1" x14ac:dyDescent="0.35">
      <c r="A5734" s="221"/>
      <c r="B5734" s="224"/>
      <c r="C5734" s="170"/>
      <c r="D5734" s="170"/>
      <c r="E5734" s="171"/>
      <c r="F5734" s="54" t="s">
        <v>560</v>
      </c>
      <c r="G5734" s="54" t="str">
        <f t="shared" si="100"/>
        <v/>
      </c>
      <c r="H5734" s="73"/>
      <c r="I5734" s="74"/>
      <c r="J5734" s="155">
        <v>0</v>
      </c>
    </row>
    <row r="5735" spans="1:10" ht="40.200000000000003" hidden="1" thickBot="1" x14ac:dyDescent="0.35">
      <c r="A5735" s="221"/>
      <c r="B5735" s="224"/>
      <c r="C5735" s="36" t="s">
        <v>1780</v>
      </c>
      <c r="D5735" s="163" t="s">
        <v>93</v>
      </c>
      <c r="E5735" s="164">
        <v>1</v>
      </c>
      <c r="F5735" s="31">
        <v>30.905999999999999</v>
      </c>
      <c r="G5735" s="54">
        <f t="shared" si="100"/>
        <v>30.905999999999999</v>
      </c>
      <c r="H5735" s="39">
        <f>SUM(G5735:G5735)</f>
        <v>30.905999999999999</v>
      </c>
      <c r="I5735" s="40"/>
      <c r="J5735" s="155">
        <v>0</v>
      </c>
    </row>
    <row r="5736" spans="1:10" ht="15" hidden="1" thickBot="1" x14ac:dyDescent="0.35">
      <c r="A5736" s="222"/>
      <c r="B5736" s="225"/>
      <c r="C5736" s="55"/>
      <c r="D5736" s="166"/>
      <c r="E5736" s="66"/>
      <c r="F5736" s="76" t="s">
        <v>560</v>
      </c>
      <c r="G5736" s="76" t="str">
        <f t="shared" si="100"/>
        <v/>
      </c>
      <c r="H5736" s="77"/>
      <c r="I5736" s="74"/>
      <c r="J5736" s="155">
        <v>0</v>
      </c>
    </row>
    <row r="5737" spans="1:10" ht="15" hidden="1" thickBot="1" x14ac:dyDescent="0.35">
      <c r="A5737" s="220" t="s">
        <v>2280</v>
      </c>
      <c r="B5737" s="223" t="e">
        <f>INDEX(#REF!,MATCH(Composições!A5737,#REF!,0),2)</f>
        <v>#REF!</v>
      </c>
      <c r="C5737" s="41"/>
      <c r="D5737" s="26" t="e">
        <f>TRIM(INDEX(#REF!,MATCH(Composições!A5737,#REF!,0),1))</f>
        <v>#REF!</v>
      </c>
      <c r="E5737" s="27"/>
      <c r="F5737" s="49" t="s">
        <v>560</v>
      </c>
      <c r="G5737" s="28" t="str">
        <f t="shared" si="100"/>
        <v/>
      </c>
      <c r="H5737" s="29"/>
      <c r="I5737" s="30"/>
      <c r="J5737" s="155">
        <v>0</v>
      </c>
    </row>
    <row r="5738" spans="1:10" ht="15" hidden="1" thickBot="1" x14ac:dyDescent="0.35">
      <c r="A5738" s="221"/>
      <c r="B5738" s="224"/>
      <c r="C5738" s="170"/>
      <c r="D5738" s="170"/>
      <c r="E5738" s="171"/>
      <c r="F5738" s="54" t="s">
        <v>560</v>
      </c>
      <c r="G5738" s="54" t="str">
        <f t="shared" si="100"/>
        <v/>
      </c>
      <c r="H5738" s="73"/>
      <c r="I5738" s="74"/>
      <c r="J5738" s="155">
        <v>0</v>
      </c>
    </row>
    <row r="5739" spans="1:10" ht="40.200000000000003" hidden="1" thickBot="1" x14ac:dyDescent="0.35">
      <c r="A5739" s="221"/>
      <c r="B5739" s="224"/>
      <c r="C5739" s="36" t="s">
        <v>1784</v>
      </c>
      <c r="D5739" s="163" t="s">
        <v>93</v>
      </c>
      <c r="E5739" s="164">
        <v>1</v>
      </c>
      <c r="F5739" s="31">
        <v>3.4935</v>
      </c>
      <c r="G5739" s="54">
        <f t="shared" si="100"/>
        <v>3.4935</v>
      </c>
      <c r="H5739" s="39">
        <f>SUM(G5739:G5739)</f>
        <v>3.4935</v>
      </c>
      <c r="I5739" s="40"/>
      <c r="J5739" s="155">
        <v>0</v>
      </c>
    </row>
    <row r="5740" spans="1:10" ht="15" hidden="1" thickBot="1" x14ac:dyDescent="0.35">
      <c r="A5740" s="222"/>
      <c r="B5740" s="225"/>
      <c r="C5740" s="55"/>
      <c r="D5740" s="166"/>
      <c r="E5740" s="66"/>
      <c r="F5740" s="76" t="s">
        <v>560</v>
      </c>
      <c r="G5740" s="76" t="str">
        <f t="shared" si="100"/>
        <v/>
      </c>
      <c r="H5740" s="77"/>
      <c r="I5740" s="74"/>
      <c r="J5740" s="155">
        <v>0</v>
      </c>
    </row>
    <row r="5741" spans="1:10" ht="15" hidden="1" thickBot="1" x14ac:dyDescent="0.35">
      <c r="A5741" s="220" t="s">
        <v>2281</v>
      </c>
      <c r="B5741" s="223" t="e">
        <f>INDEX(#REF!,MATCH(Composições!A5741,#REF!,0),2)</f>
        <v>#REF!</v>
      </c>
      <c r="C5741" s="41"/>
      <c r="D5741" s="26" t="e">
        <f>TRIM(INDEX(#REF!,MATCH(Composições!A5741,#REF!,0),1))</f>
        <v>#REF!</v>
      </c>
      <c r="E5741" s="27"/>
      <c r="F5741" s="49" t="s">
        <v>560</v>
      </c>
      <c r="G5741" s="28" t="str">
        <f t="shared" si="100"/>
        <v/>
      </c>
      <c r="H5741" s="29"/>
      <c r="I5741" s="30"/>
      <c r="J5741" s="155">
        <v>0</v>
      </c>
    </row>
    <row r="5742" spans="1:10" ht="15" hidden="1" thickBot="1" x14ac:dyDescent="0.35">
      <c r="A5742" s="221"/>
      <c r="B5742" s="224"/>
      <c r="C5742" s="170"/>
      <c r="D5742" s="170"/>
      <c r="E5742" s="171"/>
      <c r="F5742" s="54" t="s">
        <v>560</v>
      </c>
      <c r="G5742" s="54" t="str">
        <f t="shared" si="100"/>
        <v/>
      </c>
      <c r="H5742" s="73"/>
      <c r="I5742" s="74"/>
      <c r="J5742" s="155">
        <v>0</v>
      </c>
    </row>
    <row r="5743" spans="1:10" ht="27" hidden="1" thickBot="1" x14ac:dyDescent="0.35">
      <c r="A5743" s="221"/>
      <c r="B5743" s="224"/>
      <c r="C5743" s="36" t="s">
        <v>1835</v>
      </c>
      <c r="D5743" s="163" t="s">
        <v>20</v>
      </c>
      <c r="E5743" s="164">
        <v>1</v>
      </c>
      <c r="F5743" s="31">
        <v>5.8140000000000001</v>
      </c>
      <c r="G5743" s="54">
        <f t="shared" si="100"/>
        <v>5.8140000000000001</v>
      </c>
      <c r="H5743" s="39">
        <f>SUM(G5743:G5743)</f>
        <v>5.8140000000000001</v>
      </c>
      <c r="I5743" s="40"/>
      <c r="J5743" s="155">
        <v>0</v>
      </c>
    </row>
    <row r="5744" spans="1:10" ht="15" hidden="1" thickBot="1" x14ac:dyDescent="0.35">
      <c r="A5744" s="222"/>
      <c r="B5744" s="225"/>
      <c r="C5744" s="55"/>
      <c r="D5744" s="166"/>
      <c r="E5744" s="66"/>
      <c r="F5744" s="76" t="s">
        <v>560</v>
      </c>
      <c r="G5744" s="76" t="str">
        <f t="shared" si="100"/>
        <v/>
      </c>
      <c r="H5744" s="77"/>
      <c r="I5744" s="74"/>
      <c r="J5744" s="155">
        <v>0</v>
      </c>
    </row>
    <row r="5745" spans="1:10" ht="15" hidden="1" thickBot="1" x14ac:dyDescent="0.35">
      <c r="A5745" s="220" t="s">
        <v>2282</v>
      </c>
      <c r="B5745" s="223" t="e">
        <f>INDEX(#REF!,MATCH(Composições!A5745,#REF!,0),2)</f>
        <v>#REF!</v>
      </c>
      <c r="C5745" s="41"/>
      <c r="D5745" s="26" t="e">
        <f>TRIM(INDEX(#REF!,MATCH(Composições!A5745,#REF!,0),1))</f>
        <v>#REF!</v>
      </c>
      <c r="E5745" s="27"/>
      <c r="F5745" s="49" t="s">
        <v>560</v>
      </c>
      <c r="G5745" s="28" t="str">
        <f t="shared" si="100"/>
        <v/>
      </c>
      <c r="H5745" s="29"/>
      <c r="I5745" s="30"/>
      <c r="J5745" s="155">
        <v>0</v>
      </c>
    </row>
    <row r="5746" spans="1:10" ht="15" hidden="1" thickBot="1" x14ac:dyDescent="0.35">
      <c r="A5746" s="221"/>
      <c r="B5746" s="224"/>
      <c r="C5746" s="170"/>
      <c r="D5746" s="170"/>
      <c r="E5746" s="171"/>
      <c r="F5746" s="54" t="s">
        <v>560</v>
      </c>
      <c r="G5746" s="54" t="str">
        <f t="shared" si="100"/>
        <v/>
      </c>
      <c r="H5746" s="73"/>
      <c r="I5746" s="74"/>
      <c r="J5746" s="155">
        <v>0</v>
      </c>
    </row>
    <row r="5747" spans="1:10" ht="40.200000000000003" hidden="1" thickBot="1" x14ac:dyDescent="0.35">
      <c r="A5747" s="221"/>
      <c r="B5747" s="224"/>
      <c r="C5747" s="36" t="s">
        <v>1783</v>
      </c>
      <c r="D5747" s="163" t="s">
        <v>93</v>
      </c>
      <c r="E5747" s="164">
        <v>1</v>
      </c>
      <c r="F5747" s="31">
        <v>5.7629999999999999</v>
      </c>
      <c r="G5747" s="54">
        <f t="shared" si="100"/>
        <v>5.7629999999999999</v>
      </c>
      <c r="H5747" s="39">
        <f>SUM(G5747:G5747)</f>
        <v>5.7629999999999999</v>
      </c>
      <c r="I5747" s="40"/>
      <c r="J5747" s="155">
        <v>0</v>
      </c>
    </row>
    <row r="5748" spans="1:10" ht="15" hidden="1" thickBot="1" x14ac:dyDescent="0.35">
      <c r="A5748" s="222"/>
      <c r="B5748" s="225"/>
      <c r="C5748" s="55"/>
      <c r="D5748" s="166"/>
      <c r="E5748" s="66"/>
      <c r="F5748" s="76" t="s">
        <v>560</v>
      </c>
      <c r="G5748" s="76" t="str">
        <f t="shared" si="100"/>
        <v/>
      </c>
      <c r="H5748" s="77"/>
      <c r="I5748" s="74"/>
      <c r="J5748" s="155">
        <v>0</v>
      </c>
    </row>
    <row r="5749" spans="1:10" ht="15" hidden="1" thickBot="1" x14ac:dyDescent="0.35">
      <c r="A5749" s="220" t="s">
        <v>2283</v>
      </c>
      <c r="B5749" s="223" t="e">
        <f>INDEX(#REF!,MATCH(Composições!A5749,#REF!,0),2)</f>
        <v>#REF!</v>
      </c>
      <c r="C5749" s="41"/>
      <c r="D5749" s="26" t="e">
        <f>TRIM(INDEX(#REF!,MATCH(Composições!A5749,#REF!,0),1))</f>
        <v>#REF!</v>
      </c>
      <c r="E5749" s="27"/>
      <c r="F5749" s="49" t="s">
        <v>560</v>
      </c>
      <c r="G5749" s="28" t="str">
        <f t="shared" si="100"/>
        <v/>
      </c>
      <c r="H5749" s="29"/>
      <c r="I5749" s="30"/>
      <c r="J5749" s="155">
        <v>0</v>
      </c>
    </row>
    <row r="5750" spans="1:10" ht="15" hidden="1" thickBot="1" x14ac:dyDescent="0.35">
      <c r="A5750" s="221"/>
      <c r="B5750" s="224"/>
      <c r="C5750" s="170"/>
      <c r="D5750" s="170"/>
      <c r="E5750" s="171"/>
      <c r="F5750" s="54" t="s">
        <v>560</v>
      </c>
      <c r="G5750" s="54" t="str">
        <f t="shared" si="100"/>
        <v/>
      </c>
      <c r="H5750" s="73"/>
      <c r="I5750" s="74"/>
      <c r="J5750" s="155">
        <v>0</v>
      </c>
    </row>
    <row r="5751" spans="1:10" ht="27" hidden="1" thickBot="1" x14ac:dyDescent="0.35">
      <c r="A5751" s="221"/>
      <c r="B5751" s="224"/>
      <c r="C5751" s="36" t="s">
        <v>1836</v>
      </c>
      <c r="D5751" s="163" t="s">
        <v>20</v>
      </c>
      <c r="E5751" s="164">
        <v>1</v>
      </c>
      <c r="F5751" s="31">
        <v>6.6384999999999996</v>
      </c>
      <c r="G5751" s="54">
        <f t="shared" si="100"/>
        <v>6.6384999999999996</v>
      </c>
      <c r="H5751" s="39">
        <f>SUM(G5751:G5751)</f>
        <v>6.6384999999999996</v>
      </c>
      <c r="I5751" s="40"/>
      <c r="J5751" s="155">
        <v>0</v>
      </c>
    </row>
    <row r="5752" spans="1:10" ht="15" hidden="1" thickBot="1" x14ac:dyDescent="0.35">
      <c r="A5752" s="222"/>
      <c r="B5752" s="225"/>
      <c r="C5752" s="55"/>
      <c r="D5752" s="166"/>
      <c r="E5752" s="66"/>
      <c r="F5752" s="76" t="s">
        <v>560</v>
      </c>
      <c r="G5752" s="76" t="str">
        <f t="shared" si="100"/>
        <v/>
      </c>
      <c r="H5752" s="77"/>
      <c r="I5752" s="74"/>
      <c r="J5752" s="155">
        <v>0</v>
      </c>
    </row>
    <row r="5753" spans="1:10" ht="15" hidden="1" thickBot="1" x14ac:dyDescent="0.35">
      <c r="A5753" s="220" t="s">
        <v>2284</v>
      </c>
      <c r="B5753" s="223" t="e">
        <f>INDEX(#REF!,MATCH(Composições!A5753,#REF!,0),2)</f>
        <v>#REF!</v>
      </c>
      <c r="C5753" s="41"/>
      <c r="D5753" s="26" t="e">
        <f>TRIM(INDEX(#REF!,MATCH(Composições!A5753,#REF!,0),1))</f>
        <v>#REF!</v>
      </c>
      <c r="E5753" s="27"/>
      <c r="F5753" s="49" t="s">
        <v>560</v>
      </c>
      <c r="G5753" s="28" t="str">
        <f t="shared" si="100"/>
        <v/>
      </c>
      <c r="H5753" s="29"/>
      <c r="I5753" s="30"/>
      <c r="J5753" s="155">
        <v>0</v>
      </c>
    </row>
    <row r="5754" spans="1:10" ht="15" hidden="1" thickBot="1" x14ac:dyDescent="0.35">
      <c r="A5754" s="221"/>
      <c r="B5754" s="224"/>
      <c r="C5754" s="170"/>
      <c r="D5754" s="170"/>
      <c r="E5754" s="171"/>
      <c r="F5754" s="54" t="s">
        <v>560</v>
      </c>
      <c r="G5754" s="54" t="str">
        <f t="shared" si="100"/>
        <v/>
      </c>
      <c r="H5754" s="73"/>
      <c r="I5754" s="74"/>
      <c r="J5754" s="155">
        <v>0</v>
      </c>
    </row>
    <row r="5755" spans="1:10" ht="40.200000000000003" hidden="1" thickBot="1" x14ac:dyDescent="0.35">
      <c r="A5755" s="221"/>
      <c r="B5755" s="224"/>
      <c r="C5755" s="36" t="s">
        <v>1213</v>
      </c>
      <c r="D5755" s="163" t="s">
        <v>93</v>
      </c>
      <c r="E5755" s="164">
        <v>1</v>
      </c>
      <c r="F5755" s="31">
        <v>8.0749999999999993</v>
      </c>
      <c r="G5755" s="54">
        <f t="shared" si="100"/>
        <v>8.0749999999999993</v>
      </c>
      <c r="H5755" s="39">
        <f>SUM(G5755:G5755)</f>
        <v>8.0749999999999993</v>
      </c>
      <c r="I5755" s="40"/>
      <c r="J5755" s="155">
        <v>0</v>
      </c>
    </row>
    <row r="5756" spans="1:10" ht="15" hidden="1" thickBot="1" x14ac:dyDescent="0.35">
      <c r="A5756" s="222"/>
      <c r="B5756" s="225"/>
      <c r="C5756" s="55"/>
      <c r="D5756" s="166"/>
      <c r="E5756" s="66"/>
      <c r="F5756" s="76" t="s">
        <v>560</v>
      </c>
      <c r="G5756" s="76" t="str">
        <f t="shared" si="100"/>
        <v/>
      </c>
      <c r="H5756" s="77"/>
      <c r="I5756" s="74"/>
      <c r="J5756" s="155">
        <v>0</v>
      </c>
    </row>
    <row r="5757" spans="1:10" ht="15" hidden="1" thickBot="1" x14ac:dyDescent="0.35">
      <c r="A5757" s="220" t="s">
        <v>2285</v>
      </c>
      <c r="B5757" s="223" t="e">
        <f>INDEX(#REF!,MATCH(Composições!A5757,#REF!,0),2)</f>
        <v>#REF!</v>
      </c>
      <c r="C5757" s="41"/>
      <c r="D5757" s="26" t="e">
        <f>TRIM(INDEX(#REF!,MATCH(Composições!A5757,#REF!,0),1))</f>
        <v>#REF!</v>
      </c>
      <c r="E5757" s="27"/>
      <c r="F5757" s="49" t="s">
        <v>560</v>
      </c>
      <c r="G5757" s="28" t="str">
        <f t="shared" si="100"/>
        <v/>
      </c>
      <c r="H5757" s="29"/>
      <c r="I5757" s="30"/>
      <c r="J5757" s="155">
        <v>0</v>
      </c>
    </row>
    <row r="5758" spans="1:10" ht="15" hidden="1" thickBot="1" x14ac:dyDescent="0.35">
      <c r="A5758" s="221"/>
      <c r="B5758" s="224"/>
      <c r="C5758" s="170"/>
      <c r="D5758" s="170"/>
      <c r="E5758" s="171"/>
      <c r="F5758" s="54" t="s">
        <v>560</v>
      </c>
      <c r="G5758" s="54" t="str">
        <f t="shared" si="100"/>
        <v/>
      </c>
      <c r="H5758" s="73"/>
      <c r="I5758" s="74"/>
      <c r="J5758" s="155">
        <v>0</v>
      </c>
    </row>
    <row r="5759" spans="1:10" ht="27" hidden="1" thickBot="1" x14ac:dyDescent="0.35">
      <c r="A5759" s="221"/>
      <c r="B5759" s="224"/>
      <c r="C5759" s="36" t="s">
        <v>1837</v>
      </c>
      <c r="D5759" s="163" t="s">
        <v>20</v>
      </c>
      <c r="E5759" s="164">
        <v>1</v>
      </c>
      <c r="F5759" s="31">
        <v>9.7919999999999998</v>
      </c>
      <c r="G5759" s="54">
        <f t="shared" si="100"/>
        <v>9.7919999999999998</v>
      </c>
      <c r="H5759" s="39">
        <f>SUM(G5759:G5759)</f>
        <v>9.7919999999999998</v>
      </c>
      <c r="I5759" s="40"/>
      <c r="J5759" s="155">
        <v>0</v>
      </c>
    </row>
    <row r="5760" spans="1:10" ht="15" hidden="1" thickBot="1" x14ac:dyDescent="0.35">
      <c r="A5760" s="222"/>
      <c r="B5760" s="225"/>
      <c r="C5760" s="55"/>
      <c r="D5760" s="166"/>
      <c r="E5760" s="66"/>
      <c r="F5760" s="76" t="s">
        <v>560</v>
      </c>
      <c r="G5760" s="76" t="str">
        <f t="shared" si="100"/>
        <v/>
      </c>
      <c r="H5760" s="77"/>
      <c r="I5760" s="74"/>
      <c r="J5760" s="155">
        <v>0</v>
      </c>
    </row>
    <row r="5761" spans="1:10" ht="15" hidden="1" thickBot="1" x14ac:dyDescent="0.35">
      <c r="A5761" s="220" t="s">
        <v>2286</v>
      </c>
      <c r="B5761" s="223" t="e">
        <f>INDEX(#REF!,MATCH(Composições!A5761,#REF!,0),2)</f>
        <v>#REF!</v>
      </c>
      <c r="C5761" s="41"/>
      <c r="D5761" s="26" t="e">
        <f>TRIM(INDEX(#REF!,MATCH(Composições!A5761,#REF!,0),1))</f>
        <v>#REF!</v>
      </c>
      <c r="E5761" s="27"/>
      <c r="F5761" s="49" t="s">
        <v>560</v>
      </c>
      <c r="G5761" s="28" t="str">
        <f t="shared" si="100"/>
        <v/>
      </c>
      <c r="H5761" s="29"/>
      <c r="I5761" s="30"/>
      <c r="J5761" s="155">
        <v>0</v>
      </c>
    </row>
    <row r="5762" spans="1:10" ht="15" hidden="1" thickBot="1" x14ac:dyDescent="0.35">
      <c r="A5762" s="221"/>
      <c r="B5762" s="224"/>
      <c r="C5762" s="170"/>
      <c r="D5762" s="170"/>
      <c r="E5762" s="171"/>
      <c r="F5762" s="54" t="s">
        <v>560</v>
      </c>
      <c r="G5762" s="54" t="str">
        <f t="shared" si="100"/>
        <v/>
      </c>
      <c r="H5762" s="73"/>
      <c r="I5762" s="74"/>
      <c r="J5762" s="155">
        <v>0</v>
      </c>
    </row>
    <row r="5763" spans="1:10" ht="15" hidden="1" thickBot="1" x14ac:dyDescent="0.35">
      <c r="A5763" s="221"/>
      <c r="B5763" s="224"/>
      <c r="C5763" s="36" t="s">
        <v>1776</v>
      </c>
      <c r="D5763" s="163" t="s">
        <v>93</v>
      </c>
      <c r="E5763" s="164">
        <v>1</v>
      </c>
      <c r="F5763" s="31">
        <v>3.706</v>
      </c>
      <c r="G5763" s="54">
        <f t="shared" si="100"/>
        <v>3.706</v>
      </c>
      <c r="H5763" s="39">
        <f>SUM(G5763:G5763)</f>
        <v>3.706</v>
      </c>
      <c r="I5763" s="40"/>
      <c r="J5763" s="155">
        <v>0</v>
      </c>
    </row>
    <row r="5764" spans="1:10" ht="15" hidden="1" thickBot="1" x14ac:dyDescent="0.35">
      <c r="A5764" s="222"/>
      <c r="B5764" s="225"/>
      <c r="C5764" s="55"/>
      <c r="D5764" s="166"/>
      <c r="E5764" s="66"/>
      <c r="F5764" s="76" t="s">
        <v>560</v>
      </c>
      <c r="G5764" s="76" t="str">
        <f t="shared" si="100"/>
        <v/>
      </c>
      <c r="H5764" s="77"/>
      <c r="I5764" s="74"/>
      <c r="J5764" s="155">
        <v>0</v>
      </c>
    </row>
    <row r="5765" spans="1:10" ht="15" hidden="1" thickBot="1" x14ac:dyDescent="0.35">
      <c r="A5765" s="220" t="s">
        <v>2287</v>
      </c>
      <c r="B5765" s="223" t="e">
        <f>INDEX(#REF!,MATCH(Composições!A5765,#REF!,0),2)</f>
        <v>#REF!</v>
      </c>
      <c r="C5765" s="41"/>
      <c r="D5765" s="26" t="e">
        <f>TRIM(INDEX(#REF!,MATCH(Composições!A5765,#REF!,0),1))</f>
        <v>#REF!</v>
      </c>
      <c r="E5765" s="27"/>
      <c r="F5765" s="49" t="s">
        <v>560</v>
      </c>
      <c r="G5765" s="28" t="str">
        <f t="shared" si="100"/>
        <v/>
      </c>
      <c r="H5765" s="29"/>
      <c r="I5765" s="30"/>
      <c r="J5765" s="155">
        <v>0</v>
      </c>
    </row>
    <row r="5766" spans="1:10" ht="15" hidden="1" thickBot="1" x14ac:dyDescent="0.35">
      <c r="A5766" s="221"/>
      <c r="B5766" s="224"/>
      <c r="C5766" s="170"/>
      <c r="D5766" s="170"/>
      <c r="E5766" s="171"/>
      <c r="F5766" s="54" t="s">
        <v>560</v>
      </c>
      <c r="G5766" s="54" t="str">
        <f t="shared" si="100"/>
        <v/>
      </c>
      <c r="H5766" s="73"/>
      <c r="I5766" s="74"/>
      <c r="J5766" s="155">
        <v>0</v>
      </c>
    </row>
    <row r="5767" spans="1:10" ht="15" hidden="1" thickBot="1" x14ac:dyDescent="0.35">
      <c r="A5767" s="221"/>
      <c r="B5767" s="224"/>
      <c r="C5767" s="36" t="s">
        <v>1801</v>
      </c>
      <c r="D5767" s="163" t="s">
        <v>20</v>
      </c>
      <c r="E5767" s="164">
        <v>1</v>
      </c>
      <c r="F5767" s="31">
        <v>0.89249999999999996</v>
      </c>
      <c r="G5767" s="54">
        <f t="shared" si="100"/>
        <v>0.89249999999999996</v>
      </c>
      <c r="H5767" s="39">
        <f>SUM(G5767:G5767)</f>
        <v>0.89249999999999996</v>
      </c>
      <c r="I5767" s="40"/>
      <c r="J5767" s="155">
        <v>0</v>
      </c>
    </row>
    <row r="5768" spans="1:10" ht="15" hidden="1" thickBot="1" x14ac:dyDescent="0.35">
      <c r="A5768" s="222"/>
      <c r="B5768" s="225"/>
      <c r="C5768" s="55"/>
      <c r="D5768" s="166"/>
      <c r="E5768" s="66"/>
      <c r="F5768" s="76" t="s">
        <v>560</v>
      </c>
      <c r="G5768" s="76" t="str">
        <f t="shared" si="100"/>
        <v/>
      </c>
      <c r="H5768" s="77"/>
      <c r="I5768" s="74"/>
      <c r="J5768" s="155">
        <v>0</v>
      </c>
    </row>
    <row r="5769" spans="1:10" ht="15" hidden="1" thickBot="1" x14ac:dyDescent="0.35">
      <c r="A5769" s="220" t="s">
        <v>2288</v>
      </c>
      <c r="B5769" s="223" t="e">
        <f>INDEX(#REF!,MATCH(Composições!A5769,#REF!,0),2)</f>
        <v>#REF!</v>
      </c>
      <c r="C5769" s="41"/>
      <c r="D5769" s="26" t="e">
        <f>TRIM(INDEX(#REF!,MATCH(Composições!A5769,#REF!,0),1))</f>
        <v>#REF!</v>
      </c>
      <c r="E5769" s="27"/>
      <c r="F5769" s="49" t="s">
        <v>560</v>
      </c>
      <c r="G5769" s="28" t="str">
        <f t="shared" si="100"/>
        <v/>
      </c>
      <c r="H5769" s="29"/>
      <c r="I5769" s="30"/>
      <c r="J5769" s="155">
        <v>0</v>
      </c>
    </row>
    <row r="5770" spans="1:10" ht="15" hidden="1" thickBot="1" x14ac:dyDescent="0.35">
      <c r="A5770" s="221"/>
      <c r="B5770" s="224"/>
      <c r="C5770" s="170"/>
      <c r="D5770" s="170"/>
      <c r="E5770" s="171"/>
      <c r="F5770" s="54" t="s">
        <v>560</v>
      </c>
      <c r="G5770" s="54" t="str">
        <f t="shared" si="100"/>
        <v/>
      </c>
      <c r="H5770" s="73"/>
      <c r="I5770" s="74"/>
      <c r="J5770" s="155">
        <v>0</v>
      </c>
    </row>
    <row r="5771" spans="1:10" ht="27" hidden="1" thickBot="1" x14ac:dyDescent="0.35">
      <c r="A5771" s="221"/>
      <c r="B5771" s="224"/>
      <c r="C5771" s="36" t="s">
        <v>1756</v>
      </c>
      <c r="D5771" s="163" t="s">
        <v>20</v>
      </c>
      <c r="E5771" s="164">
        <v>1</v>
      </c>
      <c r="F5771" s="31">
        <v>1.9379999999999997</v>
      </c>
      <c r="G5771" s="54">
        <f t="shared" si="100"/>
        <v>1.9379999999999997</v>
      </c>
      <c r="H5771" s="39">
        <f>SUM(G5771:G5771)</f>
        <v>1.9379999999999997</v>
      </c>
      <c r="I5771" s="40"/>
      <c r="J5771" s="155">
        <v>0</v>
      </c>
    </row>
    <row r="5772" spans="1:10" ht="15" hidden="1" thickBot="1" x14ac:dyDescent="0.35">
      <c r="A5772" s="222"/>
      <c r="B5772" s="225"/>
      <c r="C5772" s="55"/>
      <c r="D5772" s="166"/>
      <c r="E5772" s="66"/>
      <c r="F5772" s="76" t="s">
        <v>560</v>
      </c>
      <c r="G5772" s="76" t="str">
        <f t="shared" si="100"/>
        <v/>
      </c>
      <c r="H5772" s="77"/>
      <c r="I5772" s="74"/>
      <c r="J5772" s="155">
        <v>0</v>
      </c>
    </row>
    <row r="5773" spans="1:10" ht="15" hidden="1" thickBot="1" x14ac:dyDescent="0.35">
      <c r="A5773" s="220" t="s">
        <v>2289</v>
      </c>
      <c r="B5773" s="223" t="e">
        <f>INDEX(#REF!,MATCH(Composições!A5773,#REF!,0),2)</f>
        <v>#REF!</v>
      </c>
      <c r="C5773" s="41"/>
      <c r="D5773" s="26" t="e">
        <f>TRIM(INDEX(#REF!,MATCH(Composições!A5773,#REF!,0),1))</f>
        <v>#REF!</v>
      </c>
      <c r="E5773" s="27"/>
      <c r="F5773" s="49" t="s">
        <v>560</v>
      </c>
      <c r="G5773" s="28" t="str">
        <f t="shared" si="100"/>
        <v/>
      </c>
      <c r="H5773" s="29"/>
      <c r="I5773" s="30"/>
      <c r="J5773" s="155">
        <v>0</v>
      </c>
    </row>
    <row r="5774" spans="1:10" ht="15" hidden="1" thickBot="1" x14ac:dyDescent="0.35">
      <c r="A5774" s="221"/>
      <c r="B5774" s="224"/>
      <c r="C5774" s="170"/>
      <c r="D5774" s="170"/>
      <c r="E5774" s="171"/>
      <c r="F5774" s="54" t="s">
        <v>560</v>
      </c>
      <c r="G5774" s="54" t="str">
        <f t="shared" si="100"/>
        <v/>
      </c>
      <c r="H5774" s="73"/>
      <c r="I5774" s="74"/>
      <c r="J5774" s="155">
        <v>0</v>
      </c>
    </row>
    <row r="5775" spans="1:10" ht="15" hidden="1" thickBot="1" x14ac:dyDescent="0.35">
      <c r="A5775" s="221"/>
      <c r="B5775" s="224"/>
      <c r="C5775" s="36" t="s">
        <v>1771</v>
      </c>
      <c r="D5775" s="163" t="s">
        <v>93</v>
      </c>
      <c r="E5775" s="164">
        <v>1</v>
      </c>
      <c r="F5775" s="31">
        <v>5.7884999999999991</v>
      </c>
      <c r="G5775" s="54">
        <f t="shared" si="100"/>
        <v>5.7884999999999991</v>
      </c>
      <c r="H5775" s="39">
        <f>SUM(G5775:G5775)</f>
        <v>5.7884999999999991</v>
      </c>
      <c r="I5775" s="40"/>
      <c r="J5775" s="155">
        <v>0</v>
      </c>
    </row>
    <row r="5776" spans="1:10" ht="15" hidden="1" thickBot="1" x14ac:dyDescent="0.35">
      <c r="A5776" s="222"/>
      <c r="B5776" s="225"/>
      <c r="C5776" s="55"/>
      <c r="D5776" s="166"/>
      <c r="E5776" s="66"/>
      <c r="F5776" s="76" t="s">
        <v>560</v>
      </c>
      <c r="G5776" s="76" t="str">
        <f t="shared" si="100"/>
        <v/>
      </c>
      <c r="H5776" s="77"/>
      <c r="I5776" s="74"/>
      <c r="J5776" s="155">
        <v>0</v>
      </c>
    </row>
    <row r="5777" spans="1:10" ht="15" hidden="1" thickBot="1" x14ac:dyDescent="0.35">
      <c r="A5777" s="220" t="s">
        <v>2290</v>
      </c>
      <c r="B5777" s="223" t="e">
        <f>INDEX(#REF!,MATCH(Composições!A5777,#REF!,0),2)</f>
        <v>#REF!</v>
      </c>
      <c r="C5777" s="41"/>
      <c r="D5777" s="26" t="e">
        <f>TRIM(INDEX(#REF!,MATCH(Composições!A5777,#REF!,0),1))</f>
        <v>#REF!</v>
      </c>
      <c r="E5777" s="27"/>
      <c r="F5777" s="49" t="s">
        <v>560</v>
      </c>
      <c r="G5777" s="28" t="str">
        <f t="shared" si="100"/>
        <v/>
      </c>
      <c r="H5777" s="29"/>
      <c r="I5777" s="30"/>
      <c r="J5777" s="155">
        <v>0</v>
      </c>
    </row>
    <row r="5778" spans="1:10" ht="15" hidden="1" thickBot="1" x14ac:dyDescent="0.35">
      <c r="A5778" s="221"/>
      <c r="B5778" s="224"/>
      <c r="C5778" s="170"/>
      <c r="D5778" s="170"/>
      <c r="E5778" s="171"/>
      <c r="F5778" s="54" t="s">
        <v>560</v>
      </c>
      <c r="G5778" s="54" t="str">
        <f t="shared" si="100"/>
        <v/>
      </c>
      <c r="H5778" s="73"/>
      <c r="I5778" s="74"/>
      <c r="J5778" s="155">
        <v>0</v>
      </c>
    </row>
    <row r="5779" spans="1:10" ht="15" hidden="1" thickBot="1" x14ac:dyDescent="0.35">
      <c r="A5779" s="221"/>
      <c r="B5779" s="224"/>
      <c r="C5779" s="36" t="s">
        <v>1799</v>
      </c>
      <c r="D5779" s="163" t="s">
        <v>20</v>
      </c>
      <c r="E5779" s="164">
        <v>1</v>
      </c>
      <c r="F5779" s="31">
        <v>1.2495000000000001</v>
      </c>
      <c r="G5779" s="54">
        <f t="shared" si="100"/>
        <v>1.2495000000000001</v>
      </c>
      <c r="H5779" s="39">
        <f>SUM(G5779:G5779)</f>
        <v>1.2495000000000001</v>
      </c>
      <c r="I5779" s="40"/>
      <c r="J5779" s="155">
        <v>0</v>
      </c>
    </row>
    <row r="5780" spans="1:10" ht="15" hidden="1" thickBot="1" x14ac:dyDescent="0.35">
      <c r="A5780" s="222"/>
      <c r="B5780" s="225"/>
      <c r="C5780" s="55"/>
      <c r="D5780" s="166"/>
      <c r="E5780" s="66"/>
      <c r="F5780" s="76" t="s">
        <v>560</v>
      </c>
      <c r="G5780" s="76" t="str">
        <f t="shared" si="100"/>
        <v/>
      </c>
      <c r="H5780" s="77"/>
      <c r="I5780" s="74"/>
      <c r="J5780" s="155">
        <v>0</v>
      </c>
    </row>
    <row r="5781" spans="1:10" ht="15" hidden="1" thickBot="1" x14ac:dyDescent="0.35">
      <c r="A5781" s="220" t="s">
        <v>2291</v>
      </c>
      <c r="B5781" s="223" t="e">
        <f>INDEX(#REF!,MATCH(Composições!A5781,#REF!,0),2)</f>
        <v>#REF!</v>
      </c>
      <c r="C5781" s="41"/>
      <c r="D5781" s="26" t="e">
        <f>TRIM(INDEX(#REF!,MATCH(Composições!A5781,#REF!,0),1))</f>
        <v>#REF!</v>
      </c>
      <c r="E5781" s="27"/>
      <c r="F5781" s="49" t="s">
        <v>560</v>
      </c>
      <c r="G5781" s="28" t="str">
        <f t="shared" si="100"/>
        <v/>
      </c>
      <c r="H5781" s="29"/>
      <c r="I5781" s="30"/>
      <c r="J5781" s="155">
        <v>0</v>
      </c>
    </row>
    <row r="5782" spans="1:10" ht="15" hidden="1" thickBot="1" x14ac:dyDescent="0.35">
      <c r="A5782" s="221"/>
      <c r="B5782" s="224"/>
      <c r="C5782" s="170"/>
      <c r="D5782" s="170"/>
      <c r="E5782" s="171"/>
      <c r="F5782" s="54" t="s">
        <v>560</v>
      </c>
      <c r="G5782" s="54" t="str">
        <f t="shared" si="100"/>
        <v/>
      </c>
      <c r="H5782" s="73"/>
      <c r="I5782" s="74"/>
      <c r="J5782" s="155">
        <v>0</v>
      </c>
    </row>
    <row r="5783" spans="1:10" ht="27" hidden="1" thickBot="1" x14ac:dyDescent="0.35">
      <c r="A5783" s="221"/>
      <c r="B5783" s="224"/>
      <c r="C5783" s="36" t="s">
        <v>1755</v>
      </c>
      <c r="D5783" s="163" t="s">
        <v>20</v>
      </c>
      <c r="E5783" s="164">
        <v>1</v>
      </c>
      <c r="F5783" s="31">
        <v>2.6774999999999998</v>
      </c>
      <c r="G5783" s="54">
        <f t="shared" si="100"/>
        <v>2.6774999999999998</v>
      </c>
      <c r="H5783" s="39">
        <f>SUM(G5783:G5783)</f>
        <v>2.6774999999999998</v>
      </c>
      <c r="I5783" s="40"/>
      <c r="J5783" s="155">
        <v>0</v>
      </c>
    </row>
    <row r="5784" spans="1:10" ht="15" hidden="1" thickBot="1" x14ac:dyDescent="0.35">
      <c r="A5784" s="222"/>
      <c r="B5784" s="225"/>
      <c r="C5784" s="55"/>
      <c r="D5784" s="166"/>
      <c r="E5784" s="66"/>
      <c r="F5784" s="76" t="s">
        <v>560</v>
      </c>
      <c r="G5784" s="76" t="str">
        <f t="shared" si="100"/>
        <v/>
      </c>
      <c r="H5784" s="77"/>
      <c r="I5784" s="74"/>
      <c r="J5784" s="155">
        <v>0</v>
      </c>
    </row>
    <row r="5785" spans="1:10" ht="15" hidden="1" thickBot="1" x14ac:dyDescent="0.35">
      <c r="A5785" s="220" t="s">
        <v>2292</v>
      </c>
      <c r="B5785" s="223" t="e">
        <f>INDEX(#REF!,MATCH(Composições!A5785,#REF!,0),2)</f>
        <v>#REF!</v>
      </c>
      <c r="C5785" s="41"/>
      <c r="D5785" s="26" t="e">
        <f>TRIM(INDEX(#REF!,MATCH(Composições!A5785,#REF!,0),1))</f>
        <v>#REF!</v>
      </c>
      <c r="E5785" s="27"/>
      <c r="F5785" s="49" t="s">
        <v>560</v>
      </c>
      <c r="G5785" s="28" t="str">
        <f t="shared" si="100"/>
        <v/>
      </c>
      <c r="H5785" s="29"/>
      <c r="I5785" s="30"/>
      <c r="J5785" s="155">
        <v>0</v>
      </c>
    </row>
    <row r="5786" spans="1:10" ht="15" hidden="1" thickBot="1" x14ac:dyDescent="0.35">
      <c r="A5786" s="221"/>
      <c r="B5786" s="224"/>
      <c r="C5786" s="170"/>
      <c r="D5786" s="170"/>
      <c r="E5786" s="171"/>
      <c r="F5786" s="54" t="s">
        <v>560</v>
      </c>
      <c r="G5786" s="54" t="str">
        <f t="shared" si="100"/>
        <v/>
      </c>
      <c r="H5786" s="73"/>
      <c r="I5786" s="74"/>
      <c r="J5786" s="155">
        <v>0</v>
      </c>
    </row>
    <row r="5787" spans="1:10" ht="15" hidden="1" thickBot="1" x14ac:dyDescent="0.35">
      <c r="A5787" s="221"/>
      <c r="B5787" s="224"/>
      <c r="C5787" s="36" t="s">
        <v>1773</v>
      </c>
      <c r="D5787" s="163" t="s">
        <v>93</v>
      </c>
      <c r="E5787" s="164">
        <v>1</v>
      </c>
      <c r="F5787" s="31">
        <v>7.7095000000000002</v>
      </c>
      <c r="G5787" s="54">
        <f t="shared" si="100"/>
        <v>7.7095000000000002</v>
      </c>
      <c r="H5787" s="39">
        <f>SUM(G5787:G5787)</f>
        <v>7.7095000000000002</v>
      </c>
      <c r="I5787" s="40"/>
      <c r="J5787" s="155">
        <v>0</v>
      </c>
    </row>
    <row r="5788" spans="1:10" ht="15" hidden="1" thickBot="1" x14ac:dyDescent="0.35">
      <c r="A5788" s="222"/>
      <c r="B5788" s="225"/>
      <c r="C5788" s="55"/>
      <c r="D5788" s="166"/>
      <c r="E5788" s="66"/>
      <c r="F5788" s="76" t="s">
        <v>560</v>
      </c>
      <c r="G5788" s="76" t="str">
        <f t="shared" si="100"/>
        <v/>
      </c>
      <c r="H5788" s="77"/>
      <c r="I5788" s="74"/>
      <c r="J5788" s="155">
        <v>0</v>
      </c>
    </row>
    <row r="5789" spans="1:10" ht="15" hidden="1" thickBot="1" x14ac:dyDescent="0.35">
      <c r="A5789" s="220" t="s">
        <v>2293</v>
      </c>
      <c r="B5789" s="223" t="e">
        <f>INDEX(#REF!,MATCH(Composições!A5789,#REF!,0),2)</f>
        <v>#REF!</v>
      </c>
      <c r="C5789" s="41"/>
      <c r="D5789" s="26" t="e">
        <f>TRIM(INDEX(#REF!,MATCH(Composições!A5789,#REF!,0),1))</f>
        <v>#REF!</v>
      </c>
      <c r="E5789" s="27"/>
      <c r="F5789" s="49" t="s">
        <v>560</v>
      </c>
      <c r="G5789" s="28" t="str">
        <f t="shared" ref="G5789:G5852" si="101">IF(ISNUMBER(F5789),E5789*F5789,"")</f>
        <v/>
      </c>
      <c r="H5789" s="29"/>
      <c r="I5789" s="30"/>
      <c r="J5789" s="155">
        <v>0</v>
      </c>
    </row>
    <row r="5790" spans="1:10" ht="15" hidden="1" thickBot="1" x14ac:dyDescent="0.35">
      <c r="A5790" s="221"/>
      <c r="B5790" s="224"/>
      <c r="C5790" s="170"/>
      <c r="D5790" s="170"/>
      <c r="E5790" s="171"/>
      <c r="F5790" s="54" t="s">
        <v>560</v>
      </c>
      <c r="G5790" s="54" t="str">
        <f t="shared" si="101"/>
        <v/>
      </c>
      <c r="H5790" s="73"/>
      <c r="I5790" s="74"/>
      <c r="J5790" s="155">
        <v>0</v>
      </c>
    </row>
    <row r="5791" spans="1:10" ht="15" hidden="1" thickBot="1" x14ac:dyDescent="0.35">
      <c r="A5791" s="221"/>
      <c r="B5791" s="224"/>
      <c r="C5791" s="36" t="s">
        <v>1798</v>
      </c>
      <c r="D5791" s="163" t="s">
        <v>20</v>
      </c>
      <c r="E5791" s="164">
        <v>1</v>
      </c>
      <c r="F5791" s="31">
        <v>1.9379999999999997</v>
      </c>
      <c r="G5791" s="54">
        <f t="shared" si="101"/>
        <v>1.9379999999999997</v>
      </c>
      <c r="H5791" s="39">
        <f>SUM(G5791:G5791)</f>
        <v>1.9379999999999997</v>
      </c>
      <c r="I5791" s="40"/>
      <c r="J5791" s="155">
        <v>0</v>
      </c>
    </row>
    <row r="5792" spans="1:10" ht="15" hidden="1" thickBot="1" x14ac:dyDescent="0.35">
      <c r="A5792" s="222"/>
      <c r="B5792" s="225"/>
      <c r="C5792" s="55"/>
      <c r="D5792" s="166"/>
      <c r="E5792" s="66"/>
      <c r="F5792" s="76" t="s">
        <v>560</v>
      </c>
      <c r="G5792" s="76" t="str">
        <f t="shared" si="101"/>
        <v/>
      </c>
      <c r="H5792" s="77"/>
      <c r="I5792" s="74"/>
      <c r="J5792" s="155">
        <v>0</v>
      </c>
    </row>
    <row r="5793" spans="1:10" ht="15" hidden="1" thickBot="1" x14ac:dyDescent="0.35">
      <c r="A5793" s="220" t="s">
        <v>2294</v>
      </c>
      <c r="B5793" s="223" t="e">
        <f>INDEX(#REF!,MATCH(Composições!A5793,#REF!,0),2)</f>
        <v>#REF!</v>
      </c>
      <c r="C5793" s="41"/>
      <c r="D5793" s="26" t="e">
        <f>TRIM(INDEX(#REF!,MATCH(Composições!A5793,#REF!,0),1))</f>
        <v>#REF!</v>
      </c>
      <c r="E5793" s="27"/>
      <c r="F5793" s="49" t="s">
        <v>560</v>
      </c>
      <c r="G5793" s="28" t="str">
        <f t="shared" si="101"/>
        <v/>
      </c>
      <c r="H5793" s="29"/>
      <c r="I5793" s="30"/>
      <c r="J5793" s="155">
        <v>0</v>
      </c>
    </row>
    <row r="5794" spans="1:10" ht="15" hidden="1" thickBot="1" x14ac:dyDescent="0.35">
      <c r="A5794" s="221"/>
      <c r="B5794" s="224"/>
      <c r="C5794" s="170"/>
      <c r="D5794" s="170"/>
      <c r="E5794" s="171"/>
      <c r="F5794" s="54" t="s">
        <v>560</v>
      </c>
      <c r="G5794" s="54" t="str">
        <f t="shared" si="101"/>
        <v/>
      </c>
      <c r="H5794" s="73"/>
      <c r="I5794" s="74"/>
      <c r="J5794" s="155">
        <v>0</v>
      </c>
    </row>
    <row r="5795" spans="1:10" ht="27" hidden="1" thickBot="1" x14ac:dyDescent="0.35">
      <c r="A5795" s="221"/>
      <c r="B5795" s="224"/>
      <c r="C5795" s="36" t="s">
        <v>1758</v>
      </c>
      <c r="D5795" s="163" t="s">
        <v>20</v>
      </c>
      <c r="E5795" s="164">
        <v>1</v>
      </c>
      <c r="F5795" s="31">
        <v>3.5275000000000003</v>
      </c>
      <c r="G5795" s="54">
        <f t="shared" si="101"/>
        <v>3.5275000000000003</v>
      </c>
      <c r="H5795" s="39">
        <f>SUM(G5795:G5795)</f>
        <v>3.5275000000000003</v>
      </c>
      <c r="I5795" s="40"/>
      <c r="J5795" s="155">
        <v>0</v>
      </c>
    </row>
    <row r="5796" spans="1:10" ht="15" hidden="1" thickBot="1" x14ac:dyDescent="0.35">
      <c r="A5796" s="222"/>
      <c r="B5796" s="225"/>
      <c r="C5796" s="55"/>
      <c r="D5796" s="166"/>
      <c r="E5796" s="66"/>
      <c r="F5796" s="76" t="s">
        <v>560</v>
      </c>
      <c r="G5796" s="76" t="str">
        <f t="shared" si="101"/>
        <v/>
      </c>
      <c r="H5796" s="77"/>
      <c r="I5796" s="74"/>
      <c r="J5796" s="155">
        <v>0</v>
      </c>
    </row>
    <row r="5797" spans="1:10" ht="15" hidden="1" thickBot="1" x14ac:dyDescent="0.35">
      <c r="A5797" s="220" t="s">
        <v>2295</v>
      </c>
      <c r="B5797" s="223" t="e">
        <f>INDEX(#REF!,MATCH(Composições!A5797,#REF!,0),2)</f>
        <v>#REF!</v>
      </c>
      <c r="C5797" s="41"/>
      <c r="D5797" s="26" t="e">
        <f>TRIM(INDEX(#REF!,MATCH(Composições!A5797,#REF!,0),1))</f>
        <v>#REF!</v>
      </c>
      <c r="E5797" s="27"/>
      <c r="F5797" s="49" t="s">
        <v>560</v>
      </c>
      <c r="G5797" s="28" t="str">
        <f t="shared" si="101"/>
        <v/>
      </c>
      <c r="H5797" s="29"/>
      <c r="I5797" s="30"/>
      <c r="J5797" s="155">
        <v>0</v>
      </c>
    </row>
    <row r="5798" spans="1:10" ht="15" hidden="1" thickBot="1" x14ac:dyDescent="0.35">
      <c r="A5798" s="221"/>
      <c r="B5798" s="224"/>
      <c r="C5798" s="170"/>
      <c r="D5798" s="170"/>
      <c r="E5798" s="171"/>
      <c r="F5798" s="54" t="s">
        <v>560</v>
      </c>
      <c r="G5798" s="54" t="str">
        <f t="shared" si="101"/>
        <v/>
      </c>
      <c r="H5798" s="73"/>
      <c r="I5798" s="74"/>
      <c r="J5798" s="155">
        <v>0</v>
      </c>
    </row>
    <row r="5799" spans="1:10" ht="15" hidden="1" thickBot="1" x14ac:dyDescent="0.35">
      <c r="A5799" s="221"/>
      <c r="B5799" s="224"/>
      <c r="C5799" s="36" t="s">
        <v>1772</v>
      </c>
      <c r="D5799" s="163" t="s">
        <v>93</v>
      </c>
      <c r="E5799" s="164">
        <v>1</v>
      </c>
      <c r="F5799" s="31">
        <v>8.4660000000000011</v>
      </c>
      <c r="G5799" s="54">
        <f t="shared" si="101"/>
        <v>8.4660000000000011</v>
      </c>
      <c r="H5799" s="39">
        <f>SUM(G5799:G5799)</f>
        <v>8.4660000000000011</v>
      </c>
      <c r="I5799" s="40"/>
      <c r="J5799" s="155">
        <v>0</v>
      </c>
    </row>
    <row r="5800" spans="1:10" ht="15" hidden="1" thickBot="1" x14ac:dyDescent="0.35">
      <c r="A5800" s="222"/>
      <c r="B5800" s="225"/>
      <c r="C5800" s="55"/>
      <c r="D5800" s="166"/>
      <c r="E5800" s="66"/>
      <c r="F5800" s="76" t="s">
        <v>560</v>
      </c>
      <c r="G5800" s="76" t="str">
        <f t="shared" si="101"/>
        <v/>
      </c>
      <c r="H5800" s="77"/>
      <c r="I5800" s="74"/>
      <c r="J5800" s="155">
        <v>0</v>
      </c>
    </row>
    <row r="5801" spans="1:10" ht="15" hidden="1" thickBot="1" x14ac:dyDescent="0.35">
      <c r="A5801" s="220" t="s">
        <v>2296</v>
      </c>
      <c r="B5801" s="223" t="e">
        <f>INDEX(#REF!,MATCH(Composições!A5801,#REF!,0),2)</f>
        <v>#REF!</v>
      </c>
      <c r="C5801" s="41"/>
      <c r="D5801" s="26" t="e">
        <f>TRIM(INDEX(#REF!,MATCH(Composições!A5801,#REF!,0),1))</f>
        <v>#REF!</v>
      </c>
      <c r="E5801" s="27"/>
      <c r="F5801" s="49" t="s">
        <v>560</v>
      </c>
      <c r="G5801" s="28" t="str">
        <f t="shared" si="101"/>
        <v/>
      </c>
      <c r="H5801" s="29"/>
      <c r="I5801" s="30"/>
      <c r="J5801" s="155">
        <v>0</v>
      </c>
    </row>
    <row r="5802" spans="1:10" ht="15" hidden="1" thickBot="1" x14ac:dyDescent="0.35">
      <c r="A5802" s="221"/>
      <c r="B5802" s="224"/>
      <c r="C5802" s="170"/>
      <c r="D5802" s="170"/>
      <c r="E5802" s="171"/>
      <c r="F5802" s="54" t="s">
        <v>560</v>
      </c>
      <c r="G5802" s="54" t="str">
        <f t="shared" si="101"/>
        <v/>
      </c>
      <c r="H5802" s="73"/>
      <c r="I5802" s="74"/>
      <c r="J5802" s="155">
        <v>0</v>
      </c>
    </row>
    <row r="5803" spans="1:10" ht="15" hidden="1" thickBot="1" x14ac:dyDescent="0.35">
      <c r="A5803" s="221"/>
      <c r="B5803" s="224"/>
      <c r="C5803" s="36" t="s">
        <v>1797</v>
      </c>
      <c r="D5803" s="163" t="s">
        <v>20</v>
      </c>
      <c r="E5803" s="164">
        <v>1</v>
      </c>
      <c r="F5803" s="31">
        <v>2.669</v>
      </c>
      <c r="G5803" s="54">
        <f t="shared" si="101"/>
        <v>2.669</v>
      </c>
      <c r="H5803" s="39">
        <f>SUM(G5803:G5803)</f>
        <v>2.669</v>
      </c>
      <c r="I5803" s="40"/>
      <c r="J5803" s="155">
        <v>0</v>
      </c>
    </row>
    <row r="5804" spans="1:10" ht="15" hidden="1" thickBot="1" x14ac:dyDescent="0.35">
      <c r="A5804" s="222"/>
      <c r="B5804" s="225"/>
      <c r="C5804" s="55"/>
      <c r="D5804" s="166"/>
      <c r="E5804" s="66"/>
      <c r="F5804" s="76" t="s">
        <v>560</v>
      </c>
      <c r="G5804" s="76" t="str">
        <f t="shared" si="101"/>
        <v/>
      </c>
      <c r="H5804" s="77"/>
      <c r="I5804" s="74"/>
      <c r="J5804" s="155">
        <v>0</v>
      </c>
    </row>
    <row r="5805" spans="1:10" ht="15" hidden="1" thickBot="1" x14ac:dyDescent="0.35">
      <c r="A5805" s="220" t="s">
        <v>2297</v>
      </c>
      <c r="B5805" s="223" t="e">
        <f>INDEX(#REF!,MATCH(Composições!A5805,#REF!,0),2)</f>
        <v>#REF!</v>
      </c>
      <c r="C5805" s="41"/>
      <c r="D5805" s="26" t="e">
        <f>TRIM(INDEX(#REF!,MATCH(Composições!A5805,#REF!,0),1))</f>
        <v>#REF!</v>
      </c>
      <c r="E5805" s="27"/>
      <c r="F5805" s="49" t="s">
        <v>560</v>
      </c>
      <c r="G5805" s="28" t="str">
        <f t="shared" si="101"/>
        <v/>
      </c>
      <c r="H5805" s="29"/>
      <c r="I5805" s="30"/>
      <c r="J5805" s="155">
        <v>0</v>
      </c>
    </row>
    <row r="5806" spans="1:10" ht="15" hidden="1" thickBot="1" x14ac:dyDescent="0.35">
      <c r="A5806" s="221"/>
      <c r="B5806" s="224"/>
      <c r="C5806" s="170"/>
      <c r="D5806" s="170"/>
      <c r="E5806" s="171"/>
      <c r="F5806" s="54" t="s">
        <v>560</v>
      </c>
      <c r="G5806" s="54" t="str">
        <f t="shared" si="101"/>
        <v/>
      </c>
      <c r="H5806" s="73"/>
      <c r="I5806" s="74"/>
      <c r="J5806" s="155">
        <v>0</v>
      </c>
    </row>
    <row r="5807" spans="1:10" ht="27" hidden="1" thickBot="1" x14ac:dyDescent="0.35">
      <c r="A5807" s="221"/>
      <c r="B5807" s="224"/>
      <c r="C5807" s="36" t="s">
        <v>1757</v>
      </c>
      <c r="D5807" s="163" t="s">
        <v>20</v>
      </c>
      <c r="E5807" s="164">
        <v>1</v>
      </c>
      <c r="F5807" s="31">
        <v>4.2755000000000001</v>
      </c>
      <c r="G5807" s="54">
        <f t="shared" si="101"/>
        <v>4.2755000000000001</v>
      </c>
      <c r="H5807" s="39">
        <f>SUM(G5807:G5807)</f>
        <v>4.2755000000000001</v>
      </c>
      <c r="I5807" s="40"/>
      <c r="J5807" s="155">
        <v>0</v>
      </c>
    </row>
    <row r="5808" spans="1:10" ht="15" hidden="1" thickBot="1" x14ac:dyDescent="0.35">
      <c r="A5808" s="222"/>
      <c r="B5808" s="225"/>
      <c r="C5808" s="55"/>
      <c r="D5808" s="166"/>
      <c r="E5808" s="66"/>
      <c r="F5808" s="76" t="s">
        <v>560</v>
      </c>
      <c r="G5808" s="76" t="str">
        <f t="shared" si="101"/>
        <v/>
      </c>
      <c r="H5808" s="77"/>
      <c r="I5808" s="74"/>
      <c r="J5808" s="155">
        <v>0</v>
      </c>
    </row>
    <row r="5809" spans="1:10" ht="15" hidden="1" thickBot="1" x14ac:dyDescent="0.35">
      <c r="A5809" s="220" t="s">
        <v>2298</v>
      </c>
      <c r="B5809" s="223" t="e">
        <f>INDEX(#REF!,MATCH(Composições!A5809,#REF!,0),2)</f>
        <v>#REF!</v>
      </c>
      <c r="C5809" s="41"/>
      <c r="D5809" s="26" t="e">
        <f>TRIM(INDEX(#REF!,MATCH(Composições!A5809,#REF!,0),1))</f>
        <v>#REF!</v>
      </c>
      <c r="E5809" s="27"/>
      <c r="F5809" s="49" t="s">
        <v>560</v>
      </c>
      <c r="G5809" s="28" t="str">
        <f t="shared" si="101"/>
        <v/>
      </c>
      <c r="H5809" s="29"/>
      <c r="I5809" s="30"/>
      <c r="J5809" s="155">
        <v>0</v>
      </c>
    </row>
    <row r="5810" spans="1:10" ht="15" hidden="1" thickBot="1" x14ac:dyDescent="0.35">
      <c r="A5810" s="221"/>
      <c r="B5810" s="224"/>
      <c r="C5810" s="170"/>
      <c r="D5810" s="170"/>
      <c r="E5810" s="171"/>
      <c r="F5810" s="54" t="s">
        <v>560</v>
      </c>
      <c r="G5810" s="54" t="str">
        <f t="shared" si="101"/>
        <v/>
      </c>
      <c r="H5810" s="73"/>
      <c r="I5810" s="74"/>
      <c r="J5810" s="155">
        <v>0</v>
      </c>
    </row>
    <row r="5811" spans="1:10" ht="15" hidden="1" thickBot="1" x14ac:dyDescent="0.35">
      <c r="A5811" s="221"/>
      <c r="B5811" s="224"/>
      <c r="C5811" s="36" t="s">
        <v>1774</v>
      </c>
      <c r="D5811" s="163" t="s">
        <v>93</v>
      </c>
      <c r="E5811" s="164">
        <v>1</v>
      </c>
      <c r="F5811" s="31">
        <v>13.838000000000001</v>
      </c>
      <c r="G5811" s="54">
        <f t="shared" si="101"/>
        <v>13.838000000000001</v>
      </c>
      <c r="H5811" s="39">
        <f>SUM(G5811:G5811)</f>
        <v>13.838000000000001</v>
      </c>
      <c r="I5811" s="40"/>
      <c r="J5811" s="155">
        <v>0</v>
      </c>
    </row>
    <row r="5812" spans="1:10" ht="15" hidden="1" thickBot="1" x14ac:dyDescent="0.35">
      <c r="A5812" s="222"/>
      <c r="B5812" s="225"/>
      <c r="C5812" s="55"/>
      <c r="D5812" s="166"/>
      <c r="E5812" s="66"/>
      <c r="F5812" s="76" t="s">
        <v>560</v>
      </c>
      <c r="G5812" s="76" t="str">
        <f t="shared" si="101"/>
        <v/>
      </c>
      <c r="H5812" s="77"/>
      <c r="I5812" s="74"/>
      <c r="J5812" s="155">
        <v>0</v>
      </c>
    </row>
    <row r="5813" spans="1:10" ht="15" hidden="1" thickBot="1" x14ac:dyDescent="0.35">
      <c r="A5813" s="220" t="s">
        <v>2299</v>
      </c>
      <c r="B5813" s="223" t="e">
        <f>INDEX(#REF!,MATCH(Composições!A5813,#REF!,0),2)</f>
        <v>#REF!</v>
      </c>
      <c r="C5813" s="41"/>
      <c r="D5813" s="26" t="e">
        <f>TRIM(INDEX(#REF!,MATCH(Composições!A5813,#REF!,0),1))</f>
        <v>#REF!</v>
      </c>
      <c r="E5813" s="27"/>
      <c r="F5813" s="49" t="s">
        <v>560</v>
      </c>
      <c r="G5813" s="28" t="str">
        <f t="shared" si="101"/>
        <v/>
      </c>
      <c r="H5813" s="29"/>
      <c r="I5813" s="30"/>
      <c r="J5813" s="155">
        <v>0</v>
      </c>
    </row>
    <row r="5814" spans="1:10" ht="15" hidden="1" thickBot="1" x14ac:dyDescent="0.35">
      <c r="A5814" s="221"/>
      <c r="B5814" s="224"/>
      <c r="C5814" s="170"/>
      <c r="D5814" s="170"/>
      <c r="E5814" s="171"/>
      <c r="F5814" s="54" t="s">
        <v>560</v>
      </c>
      <c r="G5814" s="54" t="str">
        <f t="shared" si="101"/>
        <v/>
      </c>
      <c r="H5814" s="73"/>
      <c r="I5814" s="74"/>
      <c r="J5814" s="155">
        <v>0</v>
      </c>
    </row>
    <row r="5815" spans="1:10" ht="15" hidden="1" thickBot="1" x14ac:dyDescent="0.35">
      <c r="A5815" s="221"/>
      <c r="B5815" s="224"/>
      <c r="C5815" s="36" t="s">
        <v>1800</v>
      </c>
      <c r="D5815" s="163" t="s">
        <v>20</v>
      </c>
      <c r="E5815" s="164">
        <v>1</v>
      </c>
      <c r="F5815" s="31">
        <v>3.859</v>
      </c>
      <c r="G5815" s="54">
        <f t="shared" si="101"/>
        <v>3.859</v>
      </c>
      <c r="H5815" s="39">
        <f>SUM(G5815:G5815)</f>
        <v>3.859</v>
      </c>
      <c r="I5815" s="40"/>
      <c r="J5815" s="155">
        <v>0</v>
      </c>
    </row>
    <row r="5816" spans="1:10" ht="15" hidden="1" thickBot="1" x14ac:dyDescent="0.35">
      <c r="A5816" s="222"/>
      <c r="B5816" s="225"/>
      <c r="C5816" s="55"/>
      <c r="D5816" s="166"/>
      <c r="E5816" s="66"/>
      <c r="F5816" s="76" t="s">
        <v>560</v>
      </c>
      <c r="G5816" s="76" t="str">
        <f t="shared" si="101"/>
        <v/>
      </c>
      <c r="H5816" s="77"/>
      <c r="I5816" s="74"/>
      <c r="J5816" s="155">
        <v>0</v>
      </c>
    </row>
    <row r="5817" spans="1:10" ht="15" hidden="1" thickBot="1" x14ac:dyDescent="0.35">
      <c r="A5817" s="220" t="s">
        <v>2300</v>
      </c>
      <c r="B5817" s="223" t="e">
        <f>INDEX(#REF!,MATCH(Composições!A5817,#REF!,0),2)</f>
        <v>#REF!</v>
      </c>
      <c r="C5817" s="41"/>
      <c r="D5817" s="26" t="e">
        <f>TRIM(INDEX(#REF!,MATCH(Composições!A5817,#REF!,0),1))</f>
        <v>#REF!</v>
      </c>
      <c r="E5817" s="27"/>
      <c r="F5817" s="49" t="s">
        <v>560</v>
      </c>
      <c r="G5817" s="28" t="str">
        <f t="shared" si="101"/>
        <v/>
      </c>
      <c r="H5817" s="29"/>
      <c r="I5817" s="30"/>
      <c r="J5817" s="155">
        <v>0</v>
      </c>
    </row>
    <row r="5818" spans="1:10" ht="15" hidden="1" thickBot="1" x14ac:dyDescent="0.35">
      <c r="A5818" s="221"/>
      <c r="B5818" s="224"/>
      <c r="C5818" s="170"/>
      <c r="D5818" s="170"/>
      <c r="E5818" s="171"/>
      <c r="F5818" s="54" t="s">
        <v>560</v>
      </c>
      <c r="G5818" s="54" t="str">
        <f t="shared" si="101"/>
        <v/>
      </c>
      <c r="H5818" s="73"/>
      <c r="I5818" s="74"/>
      <c r="J5818" s="155">
        <v>0</v>
      </c>
    </row>
    <row r="5819" spans="1:10" ht="27" hidden="1" thickBot="1" x14ac:dyDescent="0.35">
      <c r="A5819" s="221"/>
      <c r="B5819" s="224"/>
      <c r="C5819" s="36" t="s">
        <v>1759</v>
      </c>
      <c r="D5819" s="163" t="s">
        <v>20</v>
      </c>
      <c r="E5819" s="164">
        <v>1</v>
      </c>
      <c r="F5819" s="31">
        <v>6.9529999999999994</v>
      </c>
      <c r="G5819" s="54">
        <f t="shared" si="101"/>
        <v>6.9529999999999994</v>
      </c>
      <c r="H5819" s="39">
        <f>SUM(G5819:G5819)</f>
        <v>6.9529999999999994</v>
      </c>
      <c r="I5819" s="40"/>
      <c r="J5819" s="155">
        <v>0</v>
      </c>
    </row>
    <row r="5820" spans="1:10" ht="15" hidden="1" thickBot="1" x14ac:dyDescent="0.35">
      <c r="A5820" s="222"/>
      <c r="B5820" s="225"/>
      <c r="C5820" s="55"/>
      <c r="D5820" s="166"/>
      <c r="E5820" s="66"/>
      <c r="F5820" s="76" t="s">
        <v>560</v>
      </c>
      <c r="G5820" s="76" t="str">
        <f t="shared" si="101"/>
        <v/>
      </c>
      <c r="H5820" s="77"/>
      <c r="I5820" s="74"/>
      <c r="J5820" s="155">
        <v>0</v>
      </c>
    </row>
    <row r="5821" spans="1:10" ht="15" hidden="1" thickBot="1" x14ac:dyDescent="0.35">
      <c r="A5821" s="220" t="s">
        <v>2301</v>
      </c>
      <c r="B5821" s="223" t="e">
        <f>INDEX(#REF!,MATCH(Composições!A5821,#REF!,0),2)</f>
        <v>#REF!</v>
      </c>
      <c r="C5821" s="41"/>
      <c r="D5821" s="26" t="e">
        <f>TRIM(INDEX(#REF!,MATCH(Composições!A5821,#REF!,0),1))</f>
        <v>#REF!</v>
      </c>
      <c r="E5821" s="27"/>
      <c r="F5821" s="49" t="s">
        <v>560</v>
      </c>
      <c r="G5821" s="28" t="str">
        <f t="shared" si="101"/>
        <v/>
      </c>
      <c r="H5821" s="29"/>
      <c r="I5821" s="30"/>
      <c r="J5821" s="155">
        <v>0</v>
      </c>
    </row>
    <row r="5822" spans="1:10" ht="15" hidden="1" thickBot="1" x14ac:dyDescent="0.35">
      <c r="A5822" s="221"/>
      <c r="B5822" s="224"/>
      <c r="C5822" s="170"/>
      <c r="D5822" s="170"/>
      <c r="E5822" s="171"/>
      <c r="F5822" s="54" t="s">
        <v>560</v>
      </c>
      <c r="G5822" s="54" t="str">
        <f t="shared" si="101"/>
        <v/>
      </c>
      <c r="H5822" s="73"/>
      <c r="I5822" s="74"/>
      <c r="J5822" s="155">
        <v>0</v>
      </c>
    </row>
    <row r="5823" spans="1:10" ht="15" hidden="1" thickBot="1" x14ac:dyDescent="0.35">
      <c r="A5823" s="221"/>
      <c r="B5823" s="224"/>
      <c r="C5823" s="36" t="s">
        <v>1775</v>
      </c>
      <c r="D5823" s="163" t="s">
        <v>93</v>
      </c>
      <c r="E5823" s="164">
        <v>1</v>
      </c>
      <c r="F5823" s="31">
        <v>25.33</v>
      </c>
      <c r="G5823" s="54">
        <f t="shared" si="101"/>
        <v>25.33</v>
      </c>
      <c r="H5823" s="39">
        <f>SUM(G5823:G5823)</f>
        <v>25.33</v>
      </c>
      <c r="I5823" s="40"/>
      <c r="J5823" s="155">
        <v>0</v>
      </c>
    </row>
    <row r="5824" spans="1:10" ht="15" hidden="1" thickBot="1" x14ac:dyDescent="0.35">
      <c r="A5824" s="222"/>
      <c r="B5824" s="225"/>
      <c r="C5824" s="55"/>
      <c r="D5824" s="166"/>
      <c r="E5824" s="66"/>
      <c r="F5824" s="76" t="s">
        <v>560</v>
      </c>
      <c r="G5824" s="76" t="str">
        <f t="shared" si="101"/>
        <v/>
      </c>
      <c r="H5824" s="77"/>
      <c r="I5824" s="74"/>
      <c r="J5824" s="155">
        <v>0</v>
      </c>
    </row>
    <row r="5825" spans="1:10" ht="15" hidden="1" thickBot="1" x14ac:dyDescent="0.35">
      <c r="A5825" s="220" t="s">
        <v>2302</v>
      </c>
      <c r="B5825" s="223" t="e">
        <f>INDEX(#REF!,MATCH(Composições!A5825,#REF!,0),2)</f>
        <v>#REF!</v>
      </c>
      <c r="C5825" s="41"/>
      <c r="D5825" s="26" t="e">
        <f>TRIM(INDEX(#REF!,MATCH(Composições!A5825,#REF!,0),1))</f>
        <v>#REF!</v>
      </c>
      <c r="E5825" s="27"/>
      <c r="F5825" s="49" t="s">
        <v>560</v>
      </c>
      <c r="G5825" s="28" t="str">
        <f t="shared" si="101"/>
        <v/>
      </c>
      <c r="H5825" s="29"/>
      <c r="I5825" s="30"/>
      <c r="J5825" s="155">
        <v>0</v>
      </c>
    </row>
    <row r="5826" spans="1:10" ht="15" hidden="1" thickBot="1" x14ac:dyDescent="0.35">
      <c r="A5826" s="221"/>
      <c r="B5826" s="224"/>
      <c r="C5826" s="170"/>
      <c r="D5826" s="170"/>
      <c r="E5826" s="171"/>
      <c r="F5826" s="54" t="s">
        <v>560</v>
      </c>
      <c r="G5826" s="54" t="str">
        <f t="shared" si="101"/>
        <v/>
      </c>
      <c r="H5826" s="73"/>
      <c r="I5826" s="74"/>
      <c r="J5826" s="155">
        <v>0</v>
      </c>
    </row>
    <row r="5827" spans="1:10" ht="15" hidden="1" thickBot="1" x14ac:dyDescent="0.35">
      <c r="A5827" s="221"/>
      <c r="B5827" s="224"/>
      <c r="C5827" s="36" t="s">
        <v>1802</v>
      </c>
      <c r="D5827" s="163" t="s">
        <v>20</v>
      </c>
      <c r="E5827" s="164">
        <v>1</v>
      </c>
      <c r="F5827" s="31">
        <v>11.5345</v>
      </c>
      <c r="G5827" s="54">
        <f t="shared" si="101"/>
        <v>11.5345</v>
      </c>
      <c r="H5827" s="39">
        <f>SUM(G5827:G5827)</f>
        <v>11.5345</v>
      </c>
      <c r="I5827" s="40"/>
      <c r="J5827" s="155">
        <v>0</v>
      </c>
    </row>
    <row r="5828" spans="1:10" ht="15" hidden="1" thickBot="1" x14ac:dyDescent="0.35">
      <c r="A5828" s="222"/>
      <c r="B5828" s="225"/>
      <c r="C5828" s="55"/>
      <c r="D5828" s="166"/>
      <c r="E5828" s="66"/>
      <c r="F5828" s="76" t="s">
        <v>560</v>
      </c>
      <c r="G5828" s="76" t="str">
        <f t="shared" si="101"/>
        <v/>
      </c>
      <c r="H5828" s="77"/>
      <c r="I5828" s="74"/>
      <c r="J5828" s="155">
        <v>0</v>
      </c>
    </row>
    <row r="5829" spans="1:10" ht="15" hidden="1" thickBot="1" x14ac:dyDescent="0.35">
      <c r="A5829" s="220" t="s">
        <v>2303</v>
      </c>
      <c r="B5829" s="223" t="e">
        <f>INDEX(#REF!,MATCH(Composições!A5829,#REF!,0),2)</f>
        <v>#REF!</v>
      </c>
      <c r="C5829" s="41"/>
      <c r="D5829" s="26" t="e">
        <f>TRIM(INDEX(#REF!,MATCH(Composições!A5829,#REF!,0),1))</f>
        <v>#REF!</v>
      </c>
      <c r="E5829" s="27"/>
      <c r="F5829" s="49" t="s">
        <v>560</v>
      </c>
      <c r="G5829" s="28" t="str">
        <f t="shared" si="101"/>
        <v/>
      </c>
      <c r="H5829" s="29"/>
      <c r="I5829" s="30"/>
      <c r="J5829" s="155">
        <v>0</v>
      </c>
    </row>
    <row r="5830" spans="1:10" ht="15" hidden="1" thickBot="1" x14ac:dyDescent="0.35">
      <c r="A5830" s="221"/>
      <c r="B5830" s="224"/>
      <c r="C5830" s="170"/>
      <c r="D5830" s="170"/>
      <c r="E5830" s="171"/>
      <c r="F5830" s="54" t="s">
        <v>560</v>
      </c>
      <c r="G5830" s="54" t="str">
        <f t="shared" si="101"/>
        <v/>
      </c>
      <c r="H5830" s="73"/>
      <c r="I5830" s="74"/>
      <c r="J5830" s="155">
        <v>0</v>
      </c>
    </row>
    <row r="5831" spans="1:10" ht="27" hidden="1" thickBot="1" x14ac:dyDescent="0.35">
      <c r="A5831" s="221"/>
      <c r="B5831" s="224"/>
      <c r="C5831" s="36" t="s">
        <v>1760</v>
      </c>
      <c r="D5831" s="163" t="s">
        <v>20</v>
      </c>
      <c r="E5831" s="164">
        <v>1</v>
      </c>
      <c r="F5831" s="31">
        <v>17.756499999999999</v>
      </c>
      <c r="G5831" s="54">
        <f t="shared" si="101"/>
        <v>17.756499999999999</v>
      </c>
      <c r="H5831" s="39">
        <f>SUM(G5831:G5831)</f>
        <v>17.756499999999999</v>
      </c>
      <c r="I5831" s="40"/>
      <c r="J5831" s="155">
        <v>0</v>
      </c>
    </row>
    <row r="5832" spans="1:10" ht="15" hidden="1" thickBot="1" x14ac:dyDescent="0.35">
      <c r="A5832" s="222"/>
      <c r="B5832" s="225"/>
      <c r="C5832" s="55"/>
      <c r="D5832" s="166"/>
      <c r="E5832" s="66"/>
      <c r="F5832" s="76" t="s">
        <v>560</v>
      </c>
      <c r="G5832" s="76" t="str">
        <f t="shared" si="101"/>
        <v/>
      </c>
      <c r="H5832" s="77"/>
      <c r="I5832" s="74"/>
      <c r="J5832" s="155">
        <v>0</v>
      </c>
    </row>
    <row r="5833" spans="1:10" ht="15" hidden="1" thickBot="1" x14ac:dyDescent="0.35">
      <c r="A5833" s="220" t="s">
        <v>2304</v>
      </c>
      <c r="B5833" s="223" t="e">
        <f>INDEX(#REF!,MATCH(Composições!A5833,#REF!,0),2)</f>
        <v>#REF!</v>
      </c>
      <c r="C5833" s="41"/>
      <c r="D5833" s="26" t="e">
        <f>TRIM(INDEX(#REF!,MATCH(Composições!A5833,#REF!,0),1))</f>
        <v>#REF!</v>
      </c>
      <c r="E5833" s="27"/>
      <c r="F5833" s="49" t="s">
        <v>560</v>
      </c>
      <c r="G5833" s="28" t="str">
        <f t="shared" si="101"/>
        <v/>
      </c>
      <c r="H5833" s="29"/>
      <c r="I5833" s="30"/>
      <c r="J5833" s="155">
        <v>0</v>
      </c>
    </row>
    <row r="5834" spans="1:10" ht="15" hidden="1" thickBot="1" x14ac:dyDescent="0.35">
      <c r="A5834" s="221"/>
      <c r="B5834" s="224"/>
      <c r="C5834" s="170"/>
      <c r="D5834" s="170"/>
      <c r="E5834" s="171"/>
      <c r="F5834" s="54" t="s">
        <v>560</v>
      </c>
      <c r="G5834" s="54" t="str">
        <f t="shared" si="101"/>
        <v/>
      </c>
      <c r="H5834" s="73"/>
      <c r="I5834" s="74"/>
      <c r="J5834" s="155">
        <v>0</v>
      </c>
    </row>
    <row r="5835" spans="1:10" ht="27" hidden="1" thickBot="1" x14ac:dyDescent="0.35">
      <c r="A5835" s="221"/>
      <c r="B5835" s="224"/>
      <c r="C5835" s="36" t="s">
        <v>2365</v>
      </c>
      <c r="D5835" s="163" t="s">
        <v>20</v>
      </c>
      <c r="E5835" s="164">
        <v>1</v>
      </c>
      <c r="F5835" s="31">
        <v>0</v>
      </c>
      <c r="G5835" s="54">
        <f t="shared" si="101"/>
        <v>0</v>
      </c>
      <c r="H5835" s="39">
        <f>SUM(G5835:G5835)</f>
        <v>0</v>
      </c>
      <c r="I5835" s="40"/>
      <c r="J5835" s="155">
        <v>0</v>
      </c>
    </row>
    <row r="5836" spans="1:10" ht="15" hidden="1" thickBot="1" x14ac:dyDescent="0.35">
      <c r="A5836" s="222"/>
      <c r="B5836" s="225"/>
      <c r="C5836" s="55"/>
      <c r="D5836" s="166"/>
      <c r="E5836" s="66"/>
      <c r="F5836" s="76" t="s">
        <v>560</v>
      </c>
      <c r="G5836" s="76" t="str">
        <f t="shared" si="101"/>
        <v/>
      </c>
      <c r="H5836" s="77"/>
      <c r="I5836" s="74"/>
      <c r="J5836" s="155">
        <v>0</v>
      </c>
    </row>
    <row r="5837" spans="1:10" ht="15.75" hidden="1" customHeight="1" thickBot="1" x14ac:dyDescent="0.35">
      <c r="A5837" s="220" t="s">
        <v>2305</v>
      </c>
      <c r="B5837" s="223" t="e">
        <f>INDEX(#REF!,MATCH(Composições!A5837,#REF!,0),2)</f>
        <v>#REF!</v>
      </c>
      <c r="C5837" s="41"/>
      <c r="D5837" s="26" t="e">
        <f>TRIM(INDEX(#REF!,MATCH(Composições!A5837,#REF!,0),1))</f>
        <v>#REF!</v>
      </c>
      <c r="E5837" s="27"/>
      <c r="F5837" s="49" t="s">
        <v>560</v>
      </c>
      <c r="G5837" s="28" t="str">
        <f t="shared" si="101"/>
        <v/>
      </c>
      <c r="H5837" s="29"/>
      <c r="I5837" s="30"/>
      <c r="J5837" s="155">
        <v>0</v>
      </c>
    </row>
    <row r="5838" spans="1:10" ht="15" hidden="1" thickBot="1" x14ac:dyDescent="0.35">
      <c r="A5838" s="221"/>
      <c r="B5838" s="224"/>
      <c r="C5838" s="170"/>
      <c r="D5838" s="170"/>
      <c r="E5838" s="171"/>
      <c r="F5838" s="54" t="s">
        <v>560</v>
      </c>
      <c r="G5838" s="54" t="str">
        <f t="shared" si="101"/>
        <v/>
      </c>
      <c r="H5838" s="73"/>
      <c r="I5838" s="74"/>
      <c r="J5838" s="155">
        <v>0</v>
      </c>
    </row>
    <row r="5839" spans="1:10" ht="27" hidden="1" thickBot="1" x14ac:dyDescent="0.35">
      <c r="A5839" s="221"/>
      <c r="B5839" s="224"/>
      <c r="C5839" s="36" t="s">
        <v>2366</v>
      </c>
      <c r="D5839" s="163" t="s">
        <v>20</v>
      </c>
      <c r="E5839" s="164">
        <v>1</v>
      </c>
      <c r="F5839" s="31">
        <v>0</v>
      </c>
      <c r="G5839" s="54">
        <f t="shared" si="101"/>
        <v>0</v>
      </c>
      <c r="H5839" s="39">
        <f>SUM(G5839:G5839)</f>
        <v>0</v>
      </c>
      <c r="I5839" s="40"/>
      <c r="J5839" s="155">
        <v>0</v>
      </c>
    </row>
    <row r="5840" spans="1:10" ht="15" hidden="1" thickBot="1" x14ac:dyDescent="0.35">
      <c r="A5840" s="222"/>
      <c r="B5840" s="225"/>
      <c r="C5840" s="55"/>
      <c r="D5840" s="166"/>
      <c r="E5840" s="66"/>
      <c r="F5840" s="76" t="s">
        <v>560</v>
      </c>
      <c r="G5840" s="76" t="str">
        <f t="shared" si="101"/>
        <v/>
      </c>
      <c r="H5840" s="77"/>
      <c r="I5840" s="74"/>
      <c r="J5840" s="155">
        <v>0</v>
      </c>
    </row>
    <row r="5841" spans="1:10" ht="15.75" hidden="1" customHeight="1" thickBot="1" x14ac:dyDescent="0.35">
      <c r="A5841" s="220" t="s">
        <v>2306</v>
      </c>
      <c r="B5841" s="223" t="e">
        <f>INDEX(#REF!,MATCH(Composições!A5841,#REF!,0),2)</f>
        <v>#REF!</v>
      </c>
      <c r="C5841" s="41"/>
      <c r="D5841" s="26" t="e">
        <f>TRIM(INDEX(#REF!,MATCH(Composições!A5841,#REF!,0),1))</f>
        <v>#REF!</v>
      </c>
      <c r="E5841" s="27"/>
      <c r="F5841" s="49" t="s">
        <v>560</v>
      </c>
      <c r="G5841" s="28" t="str">
        <f t="shared" si="101"/>
        <v/>
      </c>
      <c r="H5841" s="29"/>
      <c r="I5841" s="30"/>
      <c r="J5841" s="155">
        <v>0</v>
      </c>
    </row>
    <row r="5842" spans="1:10" ht="15" hidden="1" thickBot="1" x14ac:dyDescent="0.35">
      <c r="A5842" s="221"/>
      <c r="B5842" s="224"/>
      <c r="C5842" s="170"/>
      <c r="D5842" s="170"/>
      <c r="E5842" s="171"/>
      <c r="F5842" s="54" t="s">
        <v>560</v>
      </c>
      <c r="G5842" s="54" t="str">
        <f t="shared" si="101"/>
        <v/>
      </c>
      <c r="H5842" s="73"/>
      <c r="I5842" s="74"/>
      <c r="J5842" s="155">
        <v>0</v>
      </c>
    </row>
    <row r="5843" spans="1:10" ht="27" hidden="1" thickBot="1" x14ac:dyDescent="0.35">
      <c r="A5843" s="221"/>
      <c r="B5843" s="224"/>
      <c r="C5843" s="36" t="s">
        <v>2367</v>
      </c>
      <c r="D5843" s="163" t="s">
        <v>20</v>
      </c>
      <c r="E5843" s="164">
        <v>1</v>
      </c>
      <c r="F5843" s="31">
        <v>0</v>
      </c>
      <c r="G5843" s="54">
        <f t="shared" si="101"/>
        <v>0</v>
      </c>
      <c r="H5843" s="39">
        <f>SUM(G5843:G5843)</f>
        <v>0</v>
      </c>
      <c r="I5843" s="40"/>
      <c r="J5843" s="155">
        <v>0</v>
      </c>
    </row>
    <row r="5844" spans="1:10" ht="15" hidden="1" thickBot="1" x14ac:dyDescent="0.35">
      <c r="A5844" s="222"/>
      <c r="B5844" s="225"/>
      <c r="C5844" s="55"/>
      <c r="D5844" s="166"/>
      <c r="E5844" s="66"/>
      <c r="F5844" s="76" t="s">
        <v>560</v>
      </c>
      <c r="G5844" s="76" t="str">
        <f t="shared" si="101"/>
        <v/>
      </c>
      <c r="H5844" s="77"/>
      <c r="I5844" s="74"/>
      <c r="J5844" s="155">
        <v>0</v>
      </c>
    </row>
    <row r="5845" spans="1:10" ht="15" hidden="1" thickBot="1" x14ac:dyDescent="0.35">
      <c r="A5845" s="220" t="s">
        <v>2307</v>
      </c>
      <c r="B5845" s="223" t="e">
        <f>INDEX(#REF!,MATCH(Composições!A5845,#REF!,0),2)</f>
        <v>#REF!</v>
      </c>
      <c r="C5845" s="41"/>
      <c r="D5845" s="26" t="e">
        <f>TRIM(INDEX(#REF!,MATCH(Composições!A5845,#REF!,0),1))</f>
        <v>#REF!</v>
      </c>
      <c r="E5845" s="27"/>
      <c r="F5845" s="49" t="s">
        <v>560</v>
      </c>
      <c r="G5845" s="28" t="str">
        <f t="shared" si="101"/>
        <v/>
      </c>
      <c r="H5845" s="29"/>
      <c r="I5845" s="30"/>
      <c r="J5845" s="155">
        <v>0</v>
      </c>
    </row>
    <row r="5846" spans="1:10" ht="15" hidden="1" thickBot="1" x14ac:dyDescent="0.35">
      <c r="A5846" s="221"/>
      <c r="B5846" s="224"/>
      <c r="C5846" s="170"/>
      <c r="D5846" s="170"/>
      <c r="E5846" s="171"/>
      <c r="F5846" s="54" t="s">
        <v>560</v>
      </c>
      <c r="G5846" s="54" t="str">
        <f t="shared" si="101"/>
        <v/>
      </c>
      <c r="H5846" s="73"/>
      <c r="I5846" s="74"/>
      <c r="J5846" s="155">
        <v>0</v>
      </c>
    </row>
    <row r="5847" spans="1:10" ht="27" hidden="1" thickBot="1" x14ac:dyDescent="0.35">
      <c r="A5847" s="221"/>
      <c r="B5847" s="224"/>
      <c r="C5847" s="36" t="s">
        <v>2368</v>
      </c>
      <c r="D5847" s="163" t="s">
        <v>20</v>
      </c>
      <c r="E5847" s="164">
        <v>1</v>
      </c>
      <c r="F5847" s="31">
        <v>0</v>
      </c>
      <c r="G5847" s="54">
        <f t="shared" si="101"/>
        <v>0</v>
      </c>
      <c r="H5847" s="39">
        <f>SUM(G5847:G5847)</f>
        <v>0</v>
      </c>
      <c r="I5847" s="40"/>
      <c r="J5847" s="155">
        <v>0</v>
      </c>
    </row>
    <row r="5848" spans="1:10" ht="15" hidden="1" thickBot="1" x14ac:dyDescent="0.35">
      <c r="A5848" s="222"/>
      <c r="B5848" s="225"/>
      <c r="C5848" s="55"/>
      <c r="D5848" s="166"/>
      <c r="E5848" s="66"/>
      <c r="F5848" s="76" t="s">
        <v>560</v>
      </c>
      <c r="G5848" s="76" t="str">
        <f t="shared" si="101"/>
        <v/>
      </c>
      <c r="H5848" s="77"/>
      <c r="I5848" s="74"/>
      <c r="J5848" s="155">
        <v>0</v>
      </c>
    </row>
    <row r="5849" spans="1:10" ht="15" hidden="1" thickBot="1" x14ac:dyDescent="0.35">
      <c r="A5849" s="220" t="s">
        <v>2308</v>
      </c>
      <c r="B5849" s="223" t="e">
        <f>INDEX(#REF!,MATCH(Composições!A5849,#REF!,0),2)</f>
        <v>#REF!</v>
      </c>
      <c r="C5849" s="41"/>
      <c r="D5849" s="26" t="e">
        <f>TRIM(INDEX(#REF!,MATCH(Composições!A5849,#REF!,0),1))</f>
        <v>#REF!</v>
      </c>
      <c r="E5849" s="27"/>
      <c r="F5849" s="49" t="s">
        <v>560</v>
      </c>
      <c r="G5849" s="28" t="str">
        <f t="shared" si="101"/>
        <v/>
      </c>
      <c r="H5849" s="29"/>
      <c r="I5849" s="30"/>
      <c r="J5849" s="155">
        <v>0</v>
      </c>
    </row>
    <row r="5850" spans="1:10" ht="15" hidden="1" thickBot="1" x14ac:dyDescent="0.35">
      <c r="A5850" s="221"/>
      <c r="B5850" s="224"/>
      <c r="C5850" s="170"/>
      <c r="D5850" s="170"/>
      <c r="E5850" s="171"/>
      <c r="F5850" s="54" t="s">
        <v>560</v>
      </c>
      <c r="G5850" s="54" t="str">
        <f t="shared" si="101"/>
        <v/>
      </c>
      <c r="H5850" s="73"/>
      <c r="I5850" s="74"/>
      <c r="J5850" s="155">
        <v>0</v>
      </c>
    </row>
    <row r="5851" spans="1:10" ht="15" hidden="1" thickBot="1" x14ac:dyDescent="0.35">
      <c r="A5851" s="221"/>
      <c r="B5851" s="224"/>
      <c r="C5851" s="36" t="s">
        <v>2369</v>
      </c>
      <c r="D5851" s="163" t="s">
        <v>20</v>
      </c>
      <c r="E5851" s="164">
        <v>1</v>
      </c>
      <c r="F5851" s="31">
        <v>0</v>
      </c>
      <c r="G5851" s="54">
        <f t="shared" si="101"/>
        <v>0</v>
      </c>
      <c r="H5851" s="39">
        <f>SUM(G5851:G5851)</f>
        <v>0</v>
      </c>
      <c r="I5851" s="40"/>
      <c r="J5851" s="155">
        <v>0</v>
      </c>
    </row>
    <row r="5852" spans="1:10" ht="15" hidden="1" thickBot="1" x14ac:dyDescent="0.35">
      <c r="A5852" s="222"/>
      <c r="B5852" s="225"/>
      <c r="C5852" s="55"/>
      <c r="D5852" s="166"/>
      <c r="E5852" s="66"/>
      <c r="F5852" s="76" t="s">
        <v>560</v>
      </c>
      <c r="G5852" s="76" t="str">
        <f t="shared" si="101"/>
        <v/>
      </c>
      <c r="H5852" s="77"/>
      <c r="I5852" s="74"/>
      <c r="J5852" s="155">
        <v>0</v>
      </c>
    </row>
    <row r="5853" spans="1:10" ht="15" hidden="1" thickBot="1" x14ac:dyDescent="0.35">
      <c r="A5853" s="220" t="s">
        <v>2309</v>
      </c>
      <c r="B5853" s="223" t="e">
        <f>INDEX(#REF!,MATCH(Composições!A5853,#REF!,0),2)</f>
        <v>#REF!</v>
      </c>
      <c r="C5853" s="41"/>
      <c r="D5853" s="26" t="e">
        <f>TRIM(INDEX(#REF!,MATCH(Composições!A5853,#REF!,0),1))</f>
        <v>#REF!</v>
      </c>
      <c r="E5853" s="27"/>
      <c r="F5853" s="49" t="s">
        <v>560</v>
      </c>
      <c r="G5853" s="28" t="str">
        <f t="shared" ref="G5853:G5916" si="102">IF(ISNUMBER(F5853),E5853*F5853,"")</f>
        <v/>
      </c>
      <c r="H5853" s="29"/>
      <c r="I5853" s="30"/>
      <c r="J5853" s="155">
        <v>0</v>
      </c>
    </row>
    <row r="5854" spans="1:10" ht="15" hidden="1" thickBot="1" x14ac:dyDescent="0.35">
      <c r="A5854" s="221"/>
      <c r="B5854" s="224"/>
      <c r="C5854" s="170"/>
      <c r="D5854" s="170"/>
      <c r="E5854" s="171"/>
      <c r="F5854" s="54" t="s">
        <v>560</v>
      </c>
      <c r="G5854" s="54" t="str">
        <f t="shared" si="102"/>
        <v/>
      </c>
      <c r="H5854" s="73"/>
      <c r="I5854" s="74"/>
      <c r="J5854" s="155">
        <v>0</v>
      </c>
    </row>
    <row r="5855" spans="1:10" ht="15" hidden="1" thickBot="1" x14ac:dyDescent="0.35">
      <c r="A5855" s="221"/>
      <c r="B5855" s="224"/>
      <c r="C5855" s="36" t="s">
        <v>2370</v>
      </c>
      <c r="D5855" s="163" t="s">
        <v>20</v>
      </c>
      <c r="E5855" s="164">
        <v>1</v>
      </c>
      <c r="F5855" s="31">
        <v>0</v>
      </c>
      <c r="G5855" s="54">
        <f t="shared" si="102"/>
        <v>0</v>
      </c>
      <c r="H5855" s="39">
        <f>SUM(G5855:G5855)</f>
        <v>0</v>
      </c>
      <c r="I5855" s="40"/>
      <c r="J5855" s="155">
        <v>0</v>
      </c>
    </row>
    <row r="5856" spans="1:10" ht="15" hidden="1" thickBot="1" x14ac:dyDescent="0.35">
      <c r="A5856" s="222"/>
      <c r="B5856" s="225"/>
      <c r="C5856" s="55"/>
      <c r="D5856" s="166"/>
      <c r="E5856" s="66"/>
      <c r="F5856" s="76" t="s">
        <v>560</v>
      </c>
      <c r="G5856" s="76" t="str">
        <f t="shared" si="102"/>
        <v/>
      </c>
      <c r="H5856" s="77"/>
      <c r="I5856" s="74"/>
      <c r="J5856" s="155">
        <v>0</v>
      </c>
    </row>
    <row r="5857" spans="1:10" ht="15" hidden="1" thickBot="1" x14ac:dyDescent="0.35">
      <c r="A5857" s="220" t="s">
        <v>2310</v>
      </c>
      <c r="B5857" s="223" t="e">
        <f>INDEX(#REF!,MATCH(Composições!A5857,#REF!,0),2)</f>
        <v>#REF!</v>
      </c>
      <c r="C5857" s="41"/>
      <c r="D5857" s="26" t="e">
        <f>TRIM(INDEX(#REF!,MATCH(Composições!A5857,#REF!,0),1))</f>
        <v>#REF!</v>
      </c>
      <c r="E5857" s="27"/>
      <c r="F5857" s="49" t="s">
        <v>560</v>
      </c>
      <c r="G5857" s="28" t="str">
        <f t="shared" si="102"/>
        <v/>
      </c>
      <c r="H5857" s="29"/>
      <c r="I5857" s="30"/>
      <c r="J5857" s="155">
        <v>0</v>
      </c>
    </row>
    <row r="5858" spans="1:10" ht="15" hidden="1" thickBot="1" x14ac:dyDescent="0.35">
      <c r="A5858" s="221"/>
      <c r="B5858" s="224"/>
      <c r="C5858" s="170"/>
      <c r="D5858" s="170"/>
      <c r="E5858" s="171"/>
      <c r="F5858" s="54" t="s">
        <v>560</v>
      </c>
      <c r="G5858" s="54" t="str">
        <f t="shared" si="102"/>
        <v/>
      </c>
      <c r="H5858" s="73"/>
      <c r="I5858" s="74"/>
      <c r="J5858" s="155">
        <v>0</v>
      </c>
    </row>
    <row r="5859" spans="1:10" ht="15" hidden="1" thickBot="1" x14ac:dyDescent="0.35">
      <c r="A5859" s="221"/>
      <c r="B5859" s="224"/>
      <c r="C5859" s="36" t="s">
        <v>2371</v>
      </c>
      <c r="D5859" s="163" t="s">
        <v>20</v>
      </c>
      <c r="E5859" s="164">
        <v>1</v>
      </c>
      <c r="F5859" s="31">
        <v>0</v>
      </c>
      <c r="G5859" s="54">
        <f t="shared" si="102"/>
        <v>0</v>
      </c>
      <c r="H5859" s="39">
        <f>SUM(G5859:G5859)</f>
        <v>0</v>
      </c>
      <c r="I5859" s="40"/>
      <c r="J5859" s="155">
        <v>0</v>
      </c>
    </row>
    <row r="5860" spans="1:10" ht="15" hidden="1" thickBot="1" x14ac:dyDescent="0.35">
      <c r="A5860" s="222"/>
      <c r="B5860" s="225"/>
      <c r="C5860" s="55"/>
      <c r="D5860" s="166"/>
      <c r="E5860" s="66"/>
      <c r="F5860" s="76" t="s">
        <v>560</v>
      </c>
      <c r="G5860" s="76" t="str">
        <f t="shared" si="102"/>
        <v/>
      </c>
      <c r="H5860" s="77"/>
      <c r="I5860" s="74"/>
      <c r="J5860" s="155">
        <v>0</v>
      </c>
    </row>
    <row r="5861" spans="1:10" ht="15" hidden="1" thickBot="1" x14ac:dyDescent="0.35">
      <c r="A5861" s="220" t="s">
        <v>2311</v>
      </c>
      <c r="B5861" s="223" t="e">
        <f>INDEX(#REF!,MATCH(Composições!A5861,#REF!,0),2)</f>
        <v>#REF!</v>
      </c>
      <c r="C5861" s="41"/>
      <c r="D5861" s="26" t="e">
        <f>TRIM(INDEX(#REF!,MATCH(Composições!A5861,#REF!,0),1))</f>
        <v>#REF!</v>
      </c>
      <c r="E5861" s="27"/>
      <c r="F5861" s="49" t="s">
        <v>560</v>
      </c>
      <c r="G5861" s="28" t="str">
        <f t="shared" si="102"/>
        <v/>
      </c>
      <c r="H5861" s="29"/>
      <c r="I5861" s="30"/>
      <c r="J5861" s="155">
        <v>0</v>
      </c>
    </row>
    <row r="5862" spans="1:10" ht="15" hidden="1" thickBot="1" x14ac:dyDescent="0.35">
      <c r="A5862" s="221"/>
      <c r="B5862" s="224"/>
      <c r="C5862" s="170"/>
      <c r="D5862" s="170"/>
      <c r="E5862" s="171"/>
      <c r="F5862" s="54" t="s">
        <v>560</v>
      </c>
      <c r="G5862" s="54" t="str">
        <f t="shared" si="102"/>
        <v/>
      </c>
      <c r="H5862" s="73"/>
      <c r="I5862" s="74"/>
      <c r="J5862" s="155">
        <v>0</v>
      </c>
    </row>
    <row r="5863" spans="1:10" ht="15" hidden="1" thickBot="1" x14ac:dyDescent="0.35">
      <c r="A5863" s="221"/>
      <c r="B5863" s="224"/>
      <c r="C5863" s="36" t="s">
        <v>2372</v>
      </c>
      <c r="D5863" s="163" t="s">
        <v>20</v>
      </c>
      <c r="E5863" s="164">
        <v>1</v>
      </c>
      <c r="F5863" s="31">
        <v>0</v>
      </c>
      <c r="G5863" s="54">
        <f t="shared" si="102"/>
        <v>0</v>
      </c>
      <c r="H5863" s="39">
        <f>SUM(G5863:G5863)</f>
        <v>0</v>
      </c>
      <c r="I5863" s="40"/>
      <c r="J5863" s="155">
        <v>0</v>
      </c>
    </row>
    <row r="5864" spans="1:10" ht="15" hidden="1" thickBot="1" x14ac:dyDescent="0.35">
      <c r="A5864" s="222"/>
      <c r="B5864" s="225"/>
      <c r="C5864" s="55"/>
      <c r="D5864" s="166"/>
      <c r="E5864" s="66"/>
      <c r="F5864" s="76" t="s">
        <v>560</v>
      </c>
      <c r="G5864" s="76" t="str">
        <f t="shared" si="102"/>
        <v/>
      </c>
      <c r="H5864" s="77"/>
      <c r="I5864" s="74"/>
      <c r="J5864" s="155">
        <v>0</v>
      </c>
    </row>
    <row r="5865" spans="1:10" ht="15" hidden="1" thickBot="1" x14ac:dyDescent="0.35">
      <c r="A5865" s="220" t="s">
        <v>2312</v>
      </c>
      <c r="B5865" s="223" t="e">
        <f>INDEX(#REF!,MATCH(Composições!A5865,#REF!,0),2)</f>
        <v>#REF!</v>
      </c>
      <c r="C5865" s="41"/>
      <c r="D5865" s="26" t="e">
        <f>TRIM(INDEX(#REF!,MATCH(Composições!A5865,#REF!,0),1))</f>
        <v>#REF!</v>
      </c>
      <c r="E5865" s="27"/>
      <c r="F5865" s="49" t="s">
        <v>560</v>
      </c>
      <c r="G5865" s="28" t="str">
        <f t="shared" si="102"/>
        <v/>
      </c>
      <c r="H5865" s="29"/>
      <c r="I5865" s="30"/>
      <c r="J5865" s="155">
        <v>0</v>
      </c>
    </row>
    <row r="5866" spans="1:10" ht="15" hidden="1" thickBot="1" x14ac:dyDescent="0.35">
      <c r="A5866" s="221"/>
      <c r="B5866" s="224"/>
      <c r="C5866" s="170"/>
      <c r="D5866" s="170"/>
      <c r="E5866" s="171"/>
      <c r="F5866" s="54" t="s">
        <v>560</v>
      </c>
      <c r="G5866" s="54" t="str">
        <f t="shared" si="102"/>
        <v/>
      </c>
      <c r="H5866" s="73"/>
      <c r="I5866" s="74"/>
      <c r="J5866" s="155">
        <v>0</v>
      </c>
    </row>
    <row r="5867" spans="1:10" ht="27" hidden="1" thickBot="1" x14ac:dyDescent="0.35">
      <c r="A5867" s="221"/>
      <c r="B5867" s="224"/>
      <c r="C5867" s="36" t="s">
        <v>1788</v>
      </c>
      <c r="D5867" s="163" t="s">
        <v>20</v>
      </c>
      <c r="E5867" s="164">
        <v>1</v>
      </c>
      <c r="F5867" s="31">
        <v>3.3235000000000001</v>
      </c>
      <c r="G5867" s="54">
        <f t="shared" si="102"/>
        <v>3.3235000000000001</v>
      </c>
      <c r="H5867" s="39">
        <f>SUM(G5867:G5867)</f>
        <v>3.3235000000000001</v>
      </c>
      <c r="I5867" s="40"/>
      <c r="J5867" s="155">
        <v>0</v>
      </c>
    </row>
    <row r="5868" spans="1:10" ht="15" hidden="1" thickBot="1" x14ac:dyDescent="0.35">
      <c r="A5868" s="222"/>
      <c r="B5868" s="225"/>
      <c r="C5868" s="55"/>
      <c r="D5868" s="166"/>
      <c r="E5868" s="66"/>
      <c r="F5868" s="76" t="s">
        <v>560</v>
      </c>
      <c r="G5868" s="76" t="str">
        <f t="shared" si="102"/>
        <v/>
      </c>
      <c r="H5868" s="77"/>
      <c r="I5868" s="74"/>
      <c r="J5868" s="155">
        <v>0</v>
      </c>
    </row>
    <row r="5869" spans="1:10" ht="15" hidden="1" thickBot="1" x14ac:dyDescent="0.35">
      <c r="A5869" s="220" t="s">
        <v>2313</v>
      </c>
      <c r="B5869" s="223" t="e">
        <f>INDEX(#REF!,MATCH(Composições!A5869,#REF!,0),2)</f>
        <v>#REF!</v>
      </c>
      <c r="C5869" s="41"/>
      <c r="D5869" s="26" t="e">
        <f>TRIM(INDEX(#REF!,MATCH(Composições!A5869,#REF!,0),1))</f>
        <v>#REF!</v>
      </c>
      <c r="E5869" s="27"/>
      <c r="F5869" s="49" t="s">
        <v>560</v>
      </c>
      <c r="G5869" s="28" t="str">
        <f t="shared" si="102"/>
        <v/>
      </c>
      <c r="H5869" s="29"/>
      <c r="I5869" s="30"/>
      <c r="J5869" s="155">
        <v>0</v>
      </c>
    </row>
    <row r="5870" spans="1:10" ht="15" hidden="1" thickBot="1" x14ac:dyDescent="0.35">
      <c r="A5870" s="221"/>
      <c r="B5870" s="224"/>
      <c r="C5870" s="170"/>
      <c r="D5870" s="170"/>
      <c r="E5870" s="171"/>
      <c r="F5870" s="54" t="s">
        <v>560</v>
      </c>
      <c r="G5870" s="54" t="str">
        <f t="shared" si="102"/>
        <v/>
      </c>
      <c r="H5870" s="73"/>
      <c r="I5870" s="74"/>
      <c r="J5870" s="155">
        <v>0</v>
      </c>
    </row>
    <row r="5871" spans="1:10" ht="27" hidden="1" thickBot="1" x14ac:dyDescent="0.35">
      <c r="A5871" s="221"/>
      <c r="B5871" s="224"/>
      <c r="C5871" s="36" t="s">
        <v>1820</v>
      </c>
      <c r="D5871" s="163" t="s">
        <v>20</v>
      </c>
      <c r="E5871" s="164">
        <v>1</v>
      </c>
      <c r="F5871" s="31">
        <v>1858.3720000000001</v>
      </c>
      <c r="G5871" s="54">
        <f t="shared" si="102"/>
        <v>1858.3720000000001</v>
      </c>
      <c r="H5871" s="39">
        <f>SUM(G5871:G5871)</f>
        <v>1858.3720000000001</v>
      </c>
      <c r="I5871" s="40"/>
      <c r="J5871" s="155">
        <v>0</v>
      </c>
    </row>
    <row r="5872" spans="1:10" ht="15" hidden="1" thickBot="1" x14ac:dyDescent="0.35">
      <c r="A5872" s="222"/>
      <c r="B5872" s="225"/>
      <c r="C5872" s="55"/>
      <c r="D5872" s="166"/>
      <c r="E5872" s="66"/>
      <c r="F5872" s="76" t="s">
        <v>560</v>
      </c>
      <c r="G5872" s="76" t="str">
        <f t="shared" si="102"/>
        <v/>
      </c>
      <c r="H5872" s="77"/>
      <c r="I5872" s="74"/>
      <c r="J5872" s="155">
        <v>0</v>
      </c>
    </row>
    <row r="5873" spans="1:10" ht="15" hidden="1" thickBot="1" x14ac:dyDescent="0.35">
      <c r="A5873" s="220" t="s">
        <v>2314</v>
      </c>
      <c r="B5873" s="223" t="e">
        <f>INDEX(#REF!,MATCH(Composições!A5873,#REF!,0),2)</f>
        <v>#REF!</v>
      </c>
      <c r="C5873" s="41"/>
      <c r="D5873" s="26" t="e">
        <f>TRIM(INDEX(#REF!,MATCH(Composições!A5873,#REF!,0),1))</f>
        <v>#REF!</v>
      </c>
      <c r="E5873" s="27"/>
      <c r="F5873" s="49" t="s">
        <v>560</v>
      </c>
      <c r="G5873" s="28" t="str">
        <f t="shared" si="102"/>
        <v/>
      </c>
      <c r="H5873" s="29"/>
      <c r="I5873" s="30"/>
      <c r="J5873" s="155">
        <v>0</v>
      </c>
    </row>
    <row r="5874" spans="1:10" ht="15" hidden="1" thickBot="1" x14ac:dyDescent="0.35">
      <c r="A5874" s="221"/>
      <c r="B5874" s="224"/>
      <c r="C5874" s="170"/>
      <c r="D5874" s="170"/>
      <c r="E5874" s="171"/>
      <c r="F5874" s="54" t="s">
        <v>560</v>
      </c>
      <c r="G5874" s="54" t="str">
        <f t="shared" si="102"/>
        <v/>
      </c>
      <c r="H5874" s="73"/>
      <c r="I5874" s="74"/>
      <c r="J5874" s="155">
        <v>0</v>
      </c>
    </row>
    <row r="5875" spans="1:10" ht="27" hidden="1" thickBot="1" x14ac:dyDescent="0.35">
      <c r="A5875" s="221"/>
      <c r="B5875" s="224"/>
      <c r="C5875" s="36" t="s">
        <v>1818</v>
      </c>
      <c r="D5875" s="163" t="s">
        <v>20</v>
      </c>
      <c r="E5875" s="164">
        <v>1</v>
      </c>
      <c r="F5875" s="31">
        <v>2188.2400000000002</v>
      </c>
      <c r="G5875" s="54">
        <f t="shared" si="102"/>
        <v>2188.2400000000002</v>
      </c>
      <c r="H5875" s="39">
        <f>SUM(G5875:G5875)</f>
        <v>2188.2400000000002</v>
      </c>
      <c r="I5875" s="40"/>
      <c r="J5875" s="155">
        <v>0</v>
      </c>
    </row>
    <row r="5876" spans="1:10" ht="15" hidden="1" thickBot="1" x14ac:dyDescent="0.35">
      <c r="A5876" s="222"/>
      <c r="B5876" s="225"/>
      <c r="C5876" s="55"/>
      <c r="D5876" s="166"/>
      <c r="E5876" s="66"/>
      <c r="F5876" s="76" t="s">
        <v>560</v>
      </c>
      <c r="G5876" s="76" t="str">
        <f t="shared" si="102"/>
        <v/>
      </c>
      <c r="H5876" s="77"/>
      <c r="I5876" s="74"/>
      <c r="J5876" s="155">
        <v>0</v>
      </c>
    </row>
    <row r="5877" spans="1:10" ht="15" hidden="1" thickBot="1" x14ac:dyDescent="0.35">
      <c r="A5877" s="220" t="s">
        <v>2315</v>
      </c>
      <c r="B5877" s="223" t="e">
        <f>INDEX(#REF!,MATCH(Composições!A5877,#REF!,0),2)</f>
        <v>#REF!</v>
      </c>
      <c r="C5877" s="41"/>
      <c r="D5877" s="26" t="e">
        <f>TRIM(INDEX(#REF!,MATCH(Composições!A5877,#REF!,0),1))</f>
        <v>#REF!</v>
      </c>
      <c r="E5877" s="27"/>
      <c r="F5877" s="49" t="s">
        <v>560</v>
      </c>
      <c r="G5877" s="28" t="str">
        <f t="shared" si="102"/>
        <v/>
      </c>
      <c r="H5877" s="29"/>
      <c r="I5877" s="30"/>
      <c r="J5877" s="155">
        <v>0</v>
      </c>
    </row>
    <row r="5878" spans="1:10" ht="15" hidden="1" thickBot="1" x14ac:dyDescent="0.35">
      <c r="A5878" s="221"/>
      <c r="B5878" s="224"/>
      <c r="C5878" s="170"/>
      <c r="D5878" s="170"/>
      <c r="E5878" s="171"/>
      <c r="F5878" s="54" t="s">
        <v>560</v>
      </c>
      <c r="G5878" s="54" t="str">
        <f t="shared" si="102"/>
        <v/>
      </c>
      <c r="H5878" s="73"/>
      <c r="I5878" s="74"/>
      <c r="J5878" s="155">
        <v>0</v>
      </c>
    </row>
    <row r="5879" spans="1:10" ht="15" hidden="1" thickBot="1" x14ac:dyDescent="0.35">
      <c r="A5879" s="221"/>
      <c r="B5879" s="224"/>
      <c r="C5879" s="36" t="s">
        <v>1710</v>
      </c>
      <c r="D5879" s="163" t="s">
        <v>20</v>
      </c>
      <c r="E5879" s="164">
        <v>1</v>
      </c>
      <c r="F5879" s="31">
        <v>24.803000000000001</v>
      </c>
      <c r="G5879" s="54">
        <f t="shared" si="102"/>
        <v>24.803000000000001</v>
      </c>
      <c r="H5879" s="39">
        <f>SUM(G5879:G5879)</f>
        <v>24.803000000000001</v>
      </c>
      <c r="I5879" s="40"/>
      <c r="J5879" s="155">
        <v>0</v>
      </c>
    </row>
    <row r="5880" spans="1:10" ht="15" hidden="1" thickBot="1" x14ac:dyDescent="0.35">
      <c r="A5880" s="222"/>
      <c r="B5880" s="225"/>
      <c r="C5880" s="55"/>
      <c r="D5880" s="166"/>
      <c r="E5880" s="66"/>
      <c r="F5880" s="76" t="s">
        <v>560</v>
      </c>
      <c r="G5880" s="76" t="str">
        <f t="shared" si="102"/>
        <v/>
      </c>
      <c r="H5880" s="77"/>
      <c r="I5880" s="74"/>
      <c r="J5880" s="155">
        <v>0</v>
      </c>
    </row>
    <row r="5881" spans="1:10" ht="15" hidden="1" thickBot="1" x14ac:dyDescent="0.35">
      <c r="A5881" s="220" t="s">
        <v>2316</v>
      </c>
      <c r="B5881" s="223" t="e">
        <f>INDEX(#REF!,MATCH(Composições!A5881,#REF!,0),2)</f>
        <v>#REF!</v>
      </c>
      <c r="C5881" s="41"/>
      <c r="D5881" s="26" t="e">
        <f>TRIM(INDEX(#REF!,MATCH(Composições!A5881,#REF!,0),1))</f>
        <v>#REF!</v>
      </c>
      <c r="E5881" s="27"/>
      <c r="F5881" s="49" t="s">
        <v>560</v>
      </c>
      <c r="G5881" s="28" t="str">
        <f t="shared" si="102"/>
        <v/>
      </c>
      <c r="H5881" s="29"/>
      <c r="I5881" s="30"/>
      <c r="J5881" s="155">
        <v>0</v>
      </c>
    </row>
    <row r="5882" spans="1:10" ht="15" hidden="1" thickBot="1" x14ac:dyDescent="0.35">
      <c r="A5882" s="221"/>
      <c r="B5882" s="224"/>
      <c r="C5882" s="170"/>
      <c r="D5882" s="170"/>
      <c r="E5882" s="171"/>
      <c r="F5882" s="54" t="s">
        <v>560</v>
      </c>
      <c r="G5882" s="54" t="str">
        <f t="shared" si="102"/>
        <v/>
      </c>
      <c r="H5882" s="73"/>
      <c r="I5882" s="74"/>
      <c r="J5882" s="155">
        <v>0</v>
      </c>
    </row>
    <row r="5883" spans="1:10" ht="27" hidden="1" thickBot="1" x14ac:dyDescent="0.35">
      <c r="A5883" s="221"/>
      <c r="B5883" s="224"/>
      <c r="C5883" s="36" t="s">
        <v>1717</v>
      </c>
      <c r="D5883" s="163" t="s">
        <v>20</v>
      </c>
      <c r="E5883" s="164">
        <v>1</v>
      </c>
      <c r="F5883" s="31">
        <v>1.7849999999999999</v>
      </c>
      <c r="G5883" s="54">
        <f t="shared" si="102"/>
        <v>1.7849999999999999</v>
      </c>
      <c r="H5883" s="39">
        <f>SUM(G5883:G5883)</f>
        <v>1.7849999999999999</v>
      </c>
      <c r="I5883" s="40"/>
      <c r="J5883" s="155">
        <v>0</v>
      </c>
    </row>
    <row r="5884" spans="1:10" ht="15" hidden="1" thickBot="1" x14ac:dyDescent="0.35">
      <c r="A5884" s="222"/>
      <c r="B5884" s="225"/>
      <c r="C5884" s="55"/>
      <c r="D5884" s="166"/>
      <c r="E5884" s="66"/>
      <c r="F5884" s="76" t="s">
        <v>560</v>
      </c>
      <c r="G5884" s="76" t="str">
        <f t="shared" si="102"/>
        <v/>
      </c>
      <c r="H5884" s="77"/>
      <c r="I5884" s="74"/>
      <c r="J5884" s="155">
        <v>0</v>
      </c>
    </row>
    <row r="5885" spans="1:10" ht="15" hidden="1" thickBot="1" x14ac:dyDescent="0.35">
      <c r="A5885" s="220" t="s">
        <v>2317</v>
      </c>
      <c r="B5885" s="223" t="e">
        <f>INDEX(#REF!,MATCH(Composições!A5885,#REF!,0),2)</f>
        <v>#REF!</v>
      </c>
      <c r="C5885" s="41"/>
      <c r="D5885" s="26" t="e">
        <f>TRIM(INDEX(#REF!,MATCH(Composições!A5885,#REF!,0),1))</f>
        <v>#REF!</v>
      </c>
      <c r="E5885" s="27"/>
      <c r="F5885" s="49" t="s">
        <v>560</v>
      </c>
      <c r="G5885" s="28" t="str">
        <f t="shared" si="102"/>
        <v/>
      </c>
      <c r="H5885" s="29"/>
      <c r="I5885" s="30"/>
      <c r="J5885" s="155">
        <v>0</v>
      </c>
    </row>
    <row r="5886" spans="1:10" ht="15" hidden="1" thickBot="1" x14ac:dyDescent="0.35">
      <c r="A5886" s="221"/>
      <c r="B5886" s="224"/>
      <c r="C5886" s="170"/>
      <c r="D5886" s="170"/>
      <c r="E5886" s="171"/>
      <c r="F5886" s="54" t="s">
        <v>560</v>
      </c>
      <c r="G5886" s="54" t="str">
        <f t="shared" si="102"/>
        <v/>
      </c>
      <c r="H5886" s="73"/>
      <c r="I5886" s="74"/>
      <c r="J5886" s="155">
        <v>0</v>
      </c>
    </row>
    <row r="5887" spans="1:10" ht="27" hidden="1" thickBot="1" x14ac:dyDescent="0.35">
      <c r="A5887" s="221"/>
      <c r="B5887" s="224"/>
      <c r="C5887" s="36" t="s">
        <v>1718</v>
      </c>
      <c r="D5887" s="163" t="s">
        <v>20</v>
      </c>
      <c r="E5887" s="164">
        <v>1</v>
      </c>
      <c r="F5887" s="31">
        <v>3.5444999999999998</v>
      </c>
      <c r="G5887" s="54">
        <f t="shared" si="102"/>
        <v>3.5444999999999998</v>
      </c>
      <c r="H5887" s="39">
        <f>SUM(G5887:G5887)</f>
        <v>3.5444999999999998</v>
      </c>
      <c r="I5887" s="40"/>
      <c r="J5887" s="155">
        <v>0</v>
      </c>
    </row>
    <row r="5888" spans="1:10" ht="15" hidden="1" thickBot="1" x14ac:dyDescent="0.35">
      <c r="A5888" s="222"/>
      <c r="B5888" s="225"/>
      <c r="C5888" s="55"/>
      <c r="D5888" s="166"/>
      <c r="E5888" s="66"/>
      <c r="F5888" s="76" t="s">
        <v>560</v>
      </c>
      <c r="G5888" s="76" t="str">
        <f t="shared" si="102"/>
        <v/>
      </c>
      <c r="H5888" s="77"/>
      <c r="I5888" s="74"/>
      <c r="J5888" s="155">
        <v>0</v>
      </c>
    </row>
    <row r="5889" spans="1:10" ht="15" hidden="1" thickBot="1" x14ac:dyDescent="0.35">
      <c r="A5889" s="220" t="s">
        <v>2318</v>
      </c>
      <c r="B5889" s="223" t="e">
        <f>INDEX(#REF!,MATCH(Composições!A5889,#REF!,0),2)</f>
        <v>#REF!</v>
      </c>
      <c r="C5889" s="41"/>
      <c r="D5889" s="26" t="e">
        <f>TRIM(INDEX(#REF!,MATCH(Composições!A5889,#REF!,0),1))</f>
        <v>#REF!</v>
      </c>
      <c r="E5889" s="27"/>
      <c r="F5889" s="49" t="s">
        <v>560</v>
      </c>
      <c r="G5889" s="28" t="str">
        <f t="shared" si="102"/>
        <v/>
      </c>
      <c r="H5889" s="29"/>
      <c r="I5889" s="30"/>
      <c r="J5889" s="155">
        <v>0</v>
      </c>
    </row>
    <row r="5890" spans="1:10" ht="15" hidden="1" thickBot="1" x14ac:dyDescent="0.35">
      <c r="A5890" s="221"/>
      <c r="B5890" s="224"/>
      <c r="C5890" s="170"/>
      <c r="D5890" s="170"/>
      <c r="E5890" s="171"/>
      <c r="F5890" s="54" t="s">
        <v>560</v>
      </c>
      <c r="G5890" s="54" t="str">
        <f t="shared" si="102"/>
        <v/>
      </c>
      <c r="H5890" s="73"/>
      <c r="I5890" s="74"/>
      <c r="J5890" s="155">
        <v>0</v>
      </c>
    </row>
    <row r="5891" spans="1:10" ht="27" hidden="1" thickBot="1" x14ac:dyDescent="0.35">
      <c r="A5891" s="221"/>
      <c r="B5891" s="224"/>
      <c r="C5891" s="36" t="s">
        <v>2373</v>
      </c>
      <c r="D5891" s="163" t="s">
        <v>20</v>
      </c>
      <c r="E5891" s="164">
        <v>1</v>
      </c>
      <c r="F5891" s="31">
        <v>0</v>
      </c>
      <c r="G5891" s="54">
        <f t="shared" si="102"/>
        <v>0</v>
      </c>
      <c r="H5891" s="39">
        <f>SUM(G5891:G5891)</f>
        <v>0</v>
      </c>
      <c r="I5891" s="40"/>
      <c r="J5891" s="155">
        <v>0</v>
      </c>
    </row>
    <row r="5892" spans="1:10" ht="15" hidden="1" thickBot="1" x14ac:dyDescent="0.35">
      <c r="A5892" s="222"/>
      <c r="B5892" s="225"/>
      <c r="C5892" s="55"/>
      <c r="D5892" s="166"/>
      <c r="E5892" s="66"/>
      <c r="F5892" s="76" t="s">
        <v>560</v>
      </c>
      <c r="G5892" s="76" t="str">
        <f t="shared" si="102"/>
        <v/>
      </c>
      <c r="H5892" s="77"/>
      <c r="I5892" s="74"/>
      <c r="J5892" s="155">
        <v>0</v>
      </c>
    </row>
    <row r="5893" spans="1:10" ht="15" hidden="1" thickBot="1" x14ac:dyDescent="0.35">
      <c r="A5893" s="220" t="s">
        <v>2319</v>
      </c>
      <c r="B5893" s="223" t="e">
        <f>INDEX(#REF!,MATCH(Composições!A5893,#REF!,0),2)</f>
        <v>#REF!</v>
      </c>
      <c r="C5893" s="41"/>
      <c r="D5893" s="26" t="e">
        <f>TRIM(INDEX(#REF!,MATCH(Composições!A5893,#REF!,0),1))</f>
        <v>#REF!</v>
      </c>
      <c r="E5893" s="27"/>
      <c r="F5893" s="49" t="s">
        <v>560</v>
      </c>
      <c r="G5893" s="28" t="str">
        <f t="shared" si="102"/>
        <v/>
      </c>
      <c r="H5893" s="29"/>
      <c r="I5893" s="30"/>
      <c r="J5893" s="155">
        <v>0</v>
      </c>
    </row>
    <row r="5894" spans="1:10" ht="15" hidden="1" thickBot="1" x14ac:dyDescent="0.35">
      <c r="A5894" s="221"/>
      <c r="B5894" s="224"/>
      <c r="C5894" s="170"/>
      <c r="D5894" s="170"/>
      <c r="E5894" s="171"/>
      <c r="F5894" s="54" t="s">
        <v>560</v>
      </c>
      <c r="G5894" s="54" t="str">
        <f t="shared" si="102"/>
        <v/>
      </c>
      <c r="H5894" s="73"/>
      <c r="I5894" s="74"/>
      <c r="J5894" s="155">
        <v>0</v>
      </c>
    </row>
    <row r="5895" spans="1:10" ht="27" hidden="1" thickBot="1" x14ac:dyDescent="0.35">
      <c r="A5895" s="221"/>
      <c r="B5895" s="224"/>
      <c r="C5895" s="36" t="s">
        <v>1704</v>
      </c>
      <c r="D5895" s="163" t="s">
        <v>20</v>
      </c>
      <c r="E5895" s="164">
        <v>1</v>
      </c>
      <c r="F5895" s="31">
        <v>1.4024999999999999</v>
      </c>
      <c r="G5895" s="54">
        <f t="shared" si="102"/>
        <v>1.4024999999999999</v>
      </c>
      <c r="H5895" s="39">
        <f>SUM(G5895:G5895)</f>
        <v>1.4024999999999999</v>
      </c>
      <c r="I5895" s="40"/>
      <c r="J5895" s="155">
        <v>0</v>
      </c>
    </row>
    <row r="5896" spans="1:10" ht="15" hidden="1" thickBot="1" x14ac:dyDescent="0.35">
      <c r="A5896" s="222"/>
      <c r="B5896" s="225"/>
      <c r="C5896" s="55"/>
      <c r="D5896" s="166"/>
      <c r="E5896" s="66"/>
      <c r="F5896" s="76" t="s">
        <v>560</v>
      </c>
      <c r="G5896" s="76" t="str">
        <f t="shared" si="102"/>
        <v/>
      </c>
      <c r="H5896" s="77"/>
      <c r="I5896" s="74"/>
      <c r="J5896" s="155">
        <v>0</v>
      </c>
    </row>
    <row r="5897" spans="1:10" ht="15" hidden="1" thickBot="1" x14ac:dyDescent="0.35">
      <c r="A5897" s="220" t="s">
        <v>2320</v>
      </c>
      <c r="B5897" s="223" t="e">
        <f>INDEX(#REF!,MATCH(Composições!A5897,#REF!,0),2)</f>
        <v>#REF!</v>
      </c>
      <c r="C5897" s="41"/>
      <c r="D5897" s="26" t="e">
        <f>TRIM(INDEX(#REF!,MATCH(Composições!A5897,#REF!,0),1))</f>
        <v>#REF!</v>
      </c>
      <c r="E5897" s="27"/>
      <c r="F5897" s="49" t="s">
        <v>560</v>
      </c>
      <c r="G5897" s="28" t="str">
        <f t="shared" si="102"/>
        <v/>
      </c>
      <c r="H5897" s="29"/>
      <c r="I5897" s="30"/>
      <c r="J5897" s="155">
        <v>0</v>
      </c>
    </row>
    <row r="5898" spans="1:10" ht="15" hidden="1" thickBot="1" x14ac:dyDescent="0.35">
      <c r="A5898" s="221"/>
      <c r="B5898" s="224"/>
      <c r="C5898" s="170"/>
      <c r="D5898" s="170"/>
      <c r="E5898" s="171"/>
      <c r="F5898" s="54" t="s">
        <v>560</v>
      </c>
      <c r="G5898" s="54" t="str">
        <f t="shared" si="102"/>
        <v/>
      </c>
      <c r="H5898" s="73"/>
      <c r="I5898" s="74"/>
      <c r="J5898" s="155">
        <v>0</v>
      </c>
    </row>
    <row r="5899" spans="1:10" ht="15" hidden="1" thickBot="1" x14ac:dyDescent="0.35">
      <c r="A5899" s="221"/>
      <c r="B5899" s="224"/>
      <c r="C5899" s="36" t="s">
        <v>2374</v>
      </c>
      <c r="D5899" s="163" t="s">
        <v>20</v>
      </c>
      <c r="E5899" s="164">
        <v>1</v>
      </c>
      <c r="F5899" s="31">
        <v>0</v>
      </c>
      <c r="G5899" s="54">
        <f t="shared" si="102"/>
        <v>0</v>
      </c>
      <c r="H5899" s="39">
        <f>SUM(G5899:G5899)</f>
        <v>0</v>
      </c>
      <c r="I5899" s="40"/>
      <c r="J5899" s="155">
        <v>0</v>
      </c>
    </row>
    <row r="5900" spans="1:10" ht="15" hidden="1" thickBot="1" x14ac:dyDescent="0.35">
      <c r="A5900" s="222"/>
      <c r="B5900" s="225"/>
      <c r="C5900" s="55"/>
      <c r="D5900" s="166"/>
      <c r="E5900" s="66"/>
      <c r="F5900" s="76" t="s">
        <v>560</v>
      </c>
      <c r="G5900" s="76" t="str">
        <f t="shared" si="102"/>
        <v/>
      </c>
      <c r="H5900" s="77"/>
      <c r="I5900" s="74"/>
      <c r="J5900" s="155">
        <v>0</v>
      </c>
    </row>
    <row r="5901" spans="1:10" ht="15" hidden="1" thickBot="1" x14ac:dyDescent="0.35">
      <c r="A5901" s="220" t="s">
        <v>2321</v>
      </c>
      <c r="B5901" s="223" t="e">
        <f>INDEX(#REF!,MATCH(Composições!A5901,#REF!,0),2)</f>
        <v>#REF!</v>
      </c>
      <c r="C5901" s="41"/>
      <c r="D5901" s="26" t="e">
        <f>TRIM(INDEX(#REF!,MATCH(Composições!A5901,#REF!,0),1))</f>
        <v>#REF!</v>
      </c>
      <c r="E5901" s="27"/>
      <c r="F5901" s="49" t="s">
        <v>560</v>
      </c>
      <c r="G5901" s="28" t="str">
        <f t="shared" si="102"/>
        <v/>
      </c>
      <c r="H5901" s="29"/>
      <c r="I5901" s="30"/>
      <c r="J5901" s="155">
        <v>0</v>
      </c>
    </row>
    <row r="5902" spans="1:10" ht="15" hidden="1" thickBot="1" x14ac:dyDescent="0.35">
      <c r="A5902" s="221"/>
      <c r="B5902" s="224"/>
      <c r="C5902" s="170"/>
      <c r="D5902" s="170"/>
      <c r="E5902" s="171"/>
      <c r="F5902" s="54" t="s">
        <v>560</v>
      </c>
      <c r="G5902" s="54" t="str">
        <f t="shared" si="102"/>
        <v/>
      </c>
      <c r="H5902" s="73"/>
      <c r="I5902" s="74"/>
      <c r="J5902" s="155">
        <v>0</v>
      </c>
    </row>
    <row r="5903" spans="1:10" ht="27" hidden="1" thickBot="1" x14ac:dyDescent="0.35">
      <c r="A5903" s="221"/>
      <c r="B5903" s="224"/>
      <c r="C5903" s="36" t="s">
        <v>1817</v>
      </c>
      <c r="D5903" s="163" t="s">
        <v>20</v>
      </c>
      <c r="E5903" s="164">
        <v>1</v>
      </c>
      <c r="F5903" s="31">
        <v>20.5275</v>
      </c>
      <c r="G5903" s="54">
        <f t="shared" si="102"/>
        <v>20.5275</v>
      </c>
      <c r="H5903" s="39">
        <f>SUM(G5903:G5903)</f>
        <v>20.5275</v>
      </c>
      <c r="I5903" s="40"/>
      <c r="J5903" s="155">
        <v>0</v>
      </c>
    </row>
    <row r="5904" spans="1:10" ht="15" hidden="1" thickBot="1" x14ac:dyDescent="0.35">
      <c r="A5904" s="222"/>
      <c r="B5904" s="225"/>
      <c r="C5904" s="55"/>
      <c r="D5904" s="166"/>
      <c r="E5904" s="66"/>
      <c r="F5904" s="76" t="s">
        <v>560</v>
      </c>
      <c r="G5904" s="76" t="str">
        <f t="shared" si="102"/>
        <v/>
      </c>
      <c r="H5904" s="77"/>
      <c r="I5904" s="74"/>
      <c r="J5904" s="155">
        <v>0</v>
      </c>
    </row>
    <row r="5905" spans="1:10" ht="15" hidden="1" thickBot="1" x14ac:dyDescent="0.35">
      <c r="A5905" s="220" t="s">
        <v>2322</v>
      </c>
      <c r="B5905" s="223" t="e">
        <f>INDEX(#REF!,MATCH(Composições!A5905,#REF!,0),2)</f>
        <v>#REF!</v>
      </c>
      <c r="C5905" s="41"/>
      <c r="D5905" s="26" t="e">
        <f>TRIM(INDEX(#REF!,MATCH(Composições!A5905,#REF!,0),1))</f>
        <v>#REF!</v>
      </c>
      <c r="E5905" s="27"/>
      <c r="F5905" s="49" t="s">
        <v>560</v>
      </c>
      <c r="G5905" s="28" t="str">
        <f t="shared" si="102"/>
        <v/>
      </c>
      <c r="H5905" s="29"/>
      <c r="I5905" s="30"/>
      <c r="J5905" s="155">
        <v>0</v>
      </c>
    </row>
    <row r="5906" spans="1:10" ht="15" hidden="1" thickBot="1" x14ac:dyDescent="0.35">
      <c r="A5906" s="221"/>
      <c r="B5906" s="224"/>
      <c r="C5906" s="170"/>
      <c r="D5906" s="170"/>
      <c r="E5906" s="171"/>
      <c r="F5906" s="54" t="s">
        <v>560</v>
      </c>
      <c r="G5906" s="54" t="str">
        <f t="shared" si="102"/>
        <v/>
      </c>
      <c r="H5906" s="73"/>
      <c r="I5906" s="74"/>
      <c r="J5906" s="155">
        <v>0</v>
      </c>
    </row>
    <row r="5907" spans="1:10" ht="40.200000000000003" hidden="1" thickBot="1" x14ac:dyDescent="0.35">
      <c r="A5907" s="221"/>
      <c r="B5907" s="224"/>
      <c r="C5907" s="36" t="s">
        <v>1827</v>
      </c>
      <c r="D5907" s="163" t="s">
        <v>20</v>
      </c>
      <c r="E5907" s="164">
        <v>1</v>
      </c>
      <c r="F5907" s="31">
        <v>160.25049999999999</v>
      </c>
      <c r="G5907" s="54">
        <f t="shared" si="102"/>
        <v>160.25049999999999</v>
      </c>
      <c r="H5907" s="39">
        <f>SUM(G5907:G5907)</f>
        <v>160.25049999999999</v>
      </c>
      <c r="I5907" s="40"/>
      <c r="J5907" s="155">
        <v>0</v>
      </c>
    </row>
    <row r="5908" spans="1:10" ht="15" hidden="1" thickBot="1" x14ac:dyDescent="0.35">
      <c r="A5908" s="222"/>
      <c r="B5908" s="225"/>
      <c r="C5908" s="55"/>
      <c r="D5908" s="166"/>
      <c r="E5908" s="66"/>
      <c r="F5908" s="76" t="s">
        <v>560</v>
      </c>
      <c r="G5908" s="76" t="str">
        <f t="shared" si="102"/>
        <v/>
      </c>
      <c r="H5908" s="77"/>
      <c r="I5908" s="74"/>
      <c r="J5908" s="155">
        <v>0</v>
      </c>
    </row>
    <row r="5909" spans="1:10" ht="15" hidden="1" thickBot="1" x14ac:dyDescent="0.35">
      <c r="A5909" s="220" t="s">
        <v>2323</v>
      </c>
      <c r="B5909" s="223" t="e">
        <f>INDEX(#REF!,MATCH(Composições!A5909,#REF!,0),2)</f>
        <v>#REF!</v>
      </c>
      <c r="C5909" s="41"/>
      <c r="D5909" s="26" t="e">
        <f>TRIM(INDEX(#REF!,MATCH(Composições!A5909,#REF!,0),1))</f>
        <v>#REF!</v>
      </c>
      <c r="E5909" s="27"/>
      <c r="F5909" s="49" t="s">
        <v>560</v>
      </c>
      <c r="G5909" s="28" t="str">
        <f t="shared" si="102"/>
        <v/>
      </c>
      <c r="H5909" s="29"/>
      <c r="I5909" s="30"/>
      <c r="J5909" s="155">
        <v>0</v>
      </c>
    </row>
    <row r="5910" spans="1:10" ht="15" hidden="1" thickBot="1" x14ac:dyDescent="0.35">
      <c r="A5910" s="221"/>
      <c r="B5910" s="224"/>
      <c r="C5910" s="170"/>
      <c r="D5910" s="170"/>
      <c r="E5910" s="171"/>
      <c r="F5910" s="54" t="s">
        <v>560</v>
      </c>
      <c r="G5910" s="54" t="str">
        <f t="shared" si="102"/>
        <v/>
      </c>
      <c r="H5910" s="73"/>
      <c r="I5910" s="74"/>
      <c r="J5910" s="155">
        <v>0</v>
      </c>
    </row>
    <row r="5911" spans="1:10" ht="40.200000000000003" hidden="1" thickBot="1" x14ac:dyDescent="0.35">
      <c r="A5911" s="221"/>
      <c r="B5911" s="224"/>
      <c r="C5911" s="36" t="s">
        <v>1828</v>
      </c>
      <c r="D5911" s="163" t="s">
        <v>20</v>
      </c>
      <c r="E5911" s="164">
        <v>1</v>
      </c>
      <c r="F5911" s="31">
        <v>296.90500000000003</v>
      </c>
      <c r="G5911" s="54">
        <f t="shared" si="102"/>
        <v>296.90500000000003</v>
      </c>
      <c r="H5911" s="39">
        <f>SUM(G5911:G5911)</f>
        <v>296.90500000000003</v>
      </c>
      <c r="I5911" s="40"/>
      <c r="J5911" s="155">
        <v>0</v>
      </c>
    </row>
    <row r="5912" spans="1:10" ht="15" hidden="1" thickBot="1" x14ac:dyDescent="0.35">
      <c r="A5912" s="222"/>
      <c r="B5912" s="225"/>
      <c r="C5912" s="55"/>
      <c r="D5912" s="166"/>
      <c r="E5912" s="66"/>
      <c r="F5912" s="76" t="s">
        <v>560</v>
      </c>
      <c r="G5912" s="76" t="str">
        <f t="shared" si="102"/>
        <v/>
      </c>
      <c r="H5912" s="77"/>
      <c r="I5912" s="74"/>
      <c r="J5912" s="155">
        <v>0</v>
      </c>
    </row>
    <row r="5913" spans="1:10" ht="15" hidden="1" thickBot="1" x14ac:dyDescent="0.35">
      <c r="A5913" s="220" t="s">
        <v>2324</v>
      </c>
      <c r="B5913" s="223" t="e">
        <f>INDEX(#REF!,MATCH(Composições!A5913,#REF!,0),2)</f>
        <v>#REF!</v>
      </c>
      <c r="C5913" s="41"/>
      <c r="D5913" s="26" t="e">
        <f>TRIM(INDEX(#REF!,MATCH(Composições!A5913,#REF!,0),1))</f>
        <v>#REF!</v>
      </c>
      <c r="E5913" s="27"/>
      <c r="F5913" s="49" t="s">
        <v>560</v>
      </c>
      <c r="G5913" s="28" t="str">
        <f t="shared" si="102"/>
        <v/>
      </c>
      <c r="H5913" s="29"/>
      <c r="I5913" s="30"/>
      <c r="J5913" s="155">
        <v>0</v>
      </c>
    </row>
    <row r="5914" spans="1:10" ht="15" hidden="1" thickBot="1" x14ac:dyDescent="0.35">
      <c r="A5914" s="221"/>
      <c r="B5914" s="224"/>
      <c r="C5914" s="170"/>
      <c r="D5914" s="170"/>
      <c r="E5914" s="171"/>
      <c r="F5914" s="54" t="s">
        <v>560</v>
      </c>
      <c r="G5914" s="54" t="str">
        <f t="shared" si="102"/>
        <v/>
      </c>
      <c r="H5914" s="73"/>
      <c r="I5914" s="74"/>
      <c r="J5914" s="155">
        <v>0</v>
      </c>
    </row>
    <row r="5915" spans="1:10" ht="40.200000000000003" hidden="1" thickBot="1" x14ac:dyDescent="0.35">
      <c r="A5915" s="221"/>
      <c r="B5915" s="224"/>
      <c r="C5915" s="36" t="s">
        <v>1829</v>
      </c>
      <c r="D5915" s="163" t="s">
        <v>20</v>
      </c>
      <c r="E5915" s="164">
        <v>1</v>
      </c>
      <c r="F5915" s="31">
        <v>643.46699999999998</v>
      </c>
      <c r="G5915" s="54">
        <f t="shared" si="102"/>
        <v>643.46699999999998</v>
      </c>
      <c r="H5915" s="39">
        <f>SUM(G5915:G5915)</f>
        <v>643.46699999999998</v>
      </c>
      <c r="I5915" s="40"/>
      <c r="J5915" s="155">
        <v>0</v>
      </c>
    </row>
    <row r="5916" spans="1:10" ht="15" hidden="1" thickBot="1" x14ac:dyDescent="0.35">
      <c r="A5916" s="222"/>
      <c r="B5916" s="225"/>
      <c r="C5916" s="55"/>
      <c r="D5916" s="166"/>
      <c r="E5916" s="66"/>
      <c r="F5916" s="76" t="s">
        <v>560</v>
      </c>
      <c r="G5916" s="76" t="str">
        <f t="shared" si="102"/>
        <v/>
      </c>
      <c r="H5916" s="77"/>
      <c r="I5916" s="74"/>
      <c r="J5916" s="155">
        <v>0</v>
      </c>
    </row>
    <row r="5917" spans="1:10" ht="15" hidden="1" thickBot="1" x14ac:dyDescent="0.35">
      <c r="A5917" s="220" t="s">
        <v>2325</v>
      </c>
      <c r="B5917" s="223" t="e">
        <f>INDEX(#REF!,MATCH(Composições!A5917,#REF!,0),2)</f>
        <v>#REF!</v>
      </c>
      <c r="C5917" s="41"/>
      <c r="D5917" s="26" t="e">
        <f>TRIM(INDEX(#REF!,MATCH(Composições!A5917,#REF!,0),1))</f>
        <v>#REF!</v>
      </c>
      <c r="E5917" s="27"/>
      <c r="F5917" s="49" t="s">
        <v>560</v>
      </c>
      <c r="G5917" s="28" t="str">
        <f t="shared" ref="G5917:G5980" si="103">IF(ISNUMBER(F5917),E5917*F5917,"")</f>
        <v/>
      </c>
      <c r="H5917" s="29"/>
      <c r="I5917" s="30"/>
      <c r="J5917" s="155">
        <v>0</v>
      </c>
    </row>
    <row r="5918" spans="1:10" ht="15" hidden="1" thickBot="1" x14ac:dyDescent="0.35">
      <c r="A5918" s="221"/>
      <c r="B5918" s="224"/>
      <c r="C5918" s="170"/>
      <c r="D5918" s="170"/>
      <c r="E5918" s="171"/>
      <c r="F5918" s="54" t="s">
        <v>560</v>
      </c>
      <c r="G5918" s="54" t="str">
        <f t="shared" si="103"/>
        <v/>
      </c>
      <c r="H5918" s="73"/>
      <c r="I5918" s="74"/>
      <c r="J5918" s="155">
        <v>0</v>
      </c>
    </row>
    <row r="5919" spans="1:10" ht="27" hidden="1" thickBot="1" x14ac:dyDescent="0.35">
      <c r="A5919" s="221"/>
      <c r="B5919" s="224"/>
      <c r="C5919" s="36" t="s">
        <v>1831</v>
      </c>
      <c r="D5919" s="163" t="s">
        <v>20</v>
      </c>
      <c r="E5919" s="164">
        <v>1</v>
      </c>
      <c r="F5919" s="31">
        <v>44.165999999999997</v>
      </c>
      <c r="G5919" s="54">
        <f t="shared" si="103"/>
        <v>44.165999999999997</v>
      </c>
      <c r="H5919" s="39">
        <f>SUM(G5919:G5919)</f>
        <v>44.165999999999997</v>
      </c>
      <c r="I5919" s="40"/>
      <c r="J5919" s="155">
        <v>0</v>
      </c>
    </row>
    <row r="5920" spans="1:10" ht="15" hidden="1" thickBot="1" x14ac:dyDescent="0.35">
      <c r="A5920" s="222"/>
      <c r="B5920" s="225"/>
      <c r="C5920" s="55"/>
      <c r="D5920" s="166"/>
      <c r="E5920" s="66"/>
      <c r="F5920" s="76" t="s">
        <v>560</v>
      </c>
      <c r="G5920" s="76" t="str">
        <f t="shared" si="103"/>
        <v/>
      </c>
      <c r="H5920" s="77"/>
      <c r="I5920" s="74"/>
      <c r="J5920" s="155">
        <v>0</v>
      </c>
    </row>
    <row r="5921" spans="1:10" ht="15" hidden="1" thickBot="1" x14ac:dyDescent="0.35">
      <c r="A5921" s="220" t="s">
        <v>2326</v>
      </c>
      <c r="B5921" s="223" t="e">
        <f>INDEX(#REF!,MATCH(Composições!A5921,#REF!,0),2)</f>
        <v>#REF!</v>
      </c>
      <c r="C5921" s="41"/>
      <c r="D5921" s="26" t="e">
        <f>TRIM(INDEX(#REF!,MATCH(Composições!A5921,#REF!,0),1))</f>
        <v>#REF!</v>
      </c>
      <c r="E5921" s="27"/>
      <c r="F5921" s="49" t="s">
        <v>560</v>
      </c>
      <c r="G5921" s="28" t="str">
        <f t="shared" si="103"/>
        <v/>
      </c>
      <c r="H5921" s="29"/>
      <c r="I5921" s="30"/>
      <c r="J5921" s="155">
        <v>0</v>
      </c>
    </row>
    <row r="5922" spans="1:10" ht="15" hidden="1" thickBot="1" x14ac:dyDescent="0.35">
      <c r="A5922" s="221"/>
      <c r="B5922" s="224"/>
      <c r="C5922" s="170"/>
      <c r="D5922" s="170"/>
      <c r="E5922" s="171"/>
      <c r="F5922" s="54" t="s">
        <v>560</v>
      </c>
      <c r="G5922" s="54" t="str">
        <f t="shared" si="103"/>
        <v/>
      </c>
      <c r="H5922" s="73"/>
      <c r="I5922" s="74"/>
      <c r="J5922" s="155">
        <v>0</v>
      </c>
    </row>
    <row r="5923" spans="1:10" ht="27" hidden="1" thickBot="1" x14ac:dyDescent="0.35">
      <c r="A5923" s="221"/>
      <c r="B5923" s="224"/>
      <c r="C5923" s="36" t="s">
        <v>1719</v>
      </c>
      <c r="D5923" s="163" t="s">
        <v>20</v>
      </c>
      <c r="E5923" s="164">
        <v>1</v>
      </c>
      <c r="F5923" s="31">
        <v>16.6005</v>
      </c>
      <c r="G5923" s="54">
        <f t="shared" si="103"/>
        <v>16.6005</v>
      </c>
      <c r="H5923" s="39">
        <f>SUM(G5923:G5923)</f>
        <v>16.6005</v>
      </c>
      <c r="I5923" s="40"/>
      <c r="J5923" s="155">
        <v>0</v>
      </c>
    </row>
    <row r="5924" spans="1:10" ht="15" hidden="1" thickBot="1" x14ac:dyDescent="0.35">
      <c r="A5924" s="222"/>
      <c r="B5924" s="225"/>
      <c r="C5924" s="55"/>
      <c r="D5924" s="166"/>
      <c r="E5924" s="66"/>
      <c r="F5924" s="76" t="s">
        <v>560</v>
      </c>
      <c r="G5924" s="76" t="str">
        <f t="shared" si="103"/>
        <v/>
      </c>
      <c r="H5924" s="77"/>
      <c r="I5924" s="74"/>
      <c r="J5924" s="155">
        <v>0</v>
      </c>
    </row>
    <row r="5925" spans="1:10" ht="15" hidden="1" thickBot="1" x14ac:dyDescent="0.35">
      <c r="A5925" s="220" t="s">
        <v>2327</v>
      </c>
      <c r="B5925" s="223" t="e">
        <f>INDEX(#REF!,MATCH(Composições!A5925,#REF!,0),2)</f>
        <v>#REF!</v>
      </c>
      <c r="C5925" s="41"/>
      <c r="D5925" s="26" t="e">
        <f>TRIM(INDEX(#REF!,MATCH(Composições!A5925,#REF!,0),1))</f>
        <v>#REF!</v>
      </c>
      <c r="E5925" s="27"/>
      <c r="F5925" s="49" t="s">
        <v>560</v>
      </c>
      <c r="G5925" s="28" t="str">
        <f t="shared" si="103"/>
        <v/>
      </c>
      <c r="H5925" s="29"/>
      <c r="I5925" s="30"/>
      <c r="J5925" s="155">
        <v>0</v>
      </c>
    </row>
    <row r="5926" spans="1:10" ht="15" hidden="1" thickBot="1" x14ac:dyDescent="0.35">
      <c r="A5926" s="221"/>
      <c r="B5926" s="224"/>
      <c r="C5926" s="170"/>
      <c r="D5926" s="170"/>
      <c r="E5926" s="171"/>
      <c r="F5926" s="54" t="s">
        <v>560</v>
      </c>
      <c r="G5926" s="54" t="str">
        <f t="shared" si="103"/>
        <v/>
      </c>
      <c r="H5926" s="73"/>
      <c r="I5926" s="74"/>
      <c r="J5926" s="155">
        <v>0</v>
      </c>
    </row>
    <row r="5927" spans="1:10" ht="40.200000000000003" hidden="1" thickBot="1" x14ac:dyDescent="0.35">
      <c r="A5927" s="221"/>
      <c r="B5927" s="224"/>
      <c r="C5927" s="36" t="s">
        <v>1814</v>
      </c>
      <c r="D5927" s="163" t="s">
        <v>20</v>
      </c>
      <c r="E5927" s="164">
        <v>1</v>
      </c>
      <c r="F5927" s="31">
        <v>87.396999999999991</v>
      </c>
      <c r="G5927" s="54">
        <f t="shared" si="103"/>
        <v>87.396999999999991</v>
      </c>
      <c r="H5927" s="39">
        <f>SUM(G5927:G5927)</f>
        <v>87.396999999999991</v>
      </c>
      <c r="I5927" s="40"/>
      <c r="J5927" s="155">
        <v>0</v>
      </c>
    </row>
    <row r="5928" spans="1:10" ht="15" hidden="1" thickBot="1" x14ac:dyDescent="0.35">
      <c r="A5928" s="222"/>
      <c r="B5928" s="225"/>
      <c r="C5928" s="55"/>
      <c r="D5928" s="166"/>
      <c r="E5928" s="66"/>
      <c r="F5928" s="76" t="s">
        <v>560</v>
      </c>
      <c r="G5928" s="76" t="str">
        <f t="shared" si="103"/>
        <v/>
      </c>
      <c r="H5928" s="77"/>
      <c r="I5928" s="74"/>
      <c r="J5928" s="155">
        <v>0</v>
      </c>
    </row>
    <row r="5929" spans="1:10" ht="15" hidden="1" thickBot="1" x14ac:dyDescent="0.35">
      <c r="A5929" s="220" t="s">
        <v>2328</v>
      </c>
      <c r="B5929" s="223" t="e">
        <f>INDEX(#REF!,MATCH(Composições!A5929,#REF!,0),2)</f>
        <v>#REF!</v>
      </c>
      <c r="C5929" s="41"/>
      <c r="D5929" s="26" t="e">
        <f>TRIM(INDEX(#REF!,MATCH(Composições!A5929,#REF!,0),1))</f>
        <v>#REF!</v>
      </c>
      <c r="E5929" s="27"/>
      <c r="F5929" s="49" t="s">
        <v>560</v>
      </c>
      <c r="G5929" s="28" t="str">
        <f t="shared" si="103"/>
        <v/>
      </c>
      <c r="H5929" s="29"/>
      <c r="I5929" s="30"/>
      <c r="J5929" s="155">
        <v>0</v>
      </c>
    </row>
    <row r="5930" spans="1:10" ht="15" hidden="1" thickBot="1" x14ac:dyDescent="0.35">
      <c r="A5930" s="221"/>
      <c r="B5930" s="224"/>
      <c r="C5930" s="170"/>
      <c r="D5930" s="170"/>
      <c r="E5930" s="171"/>
      <c r="F5930" s="54" t="s">
        <v>560</v>
      </c>
      <c r="G5930" s="54" t="str">
        <f t="shared" si="103"/>
        <v/>
      </c>
      <c r="H5930" s="73"/>
      <c r="I5930" s="74"/>
      <c r="J5930" s="155">
        <v>0</v>
      </c>
    </row>
    <row r="5931" spans="1:10" ht="27" hidden="1" thickBot="1" x14ac:dyDescent="0.35">
      <c r="A5931" s="221"/>
      <c r="B5931" s="224"/>
      <c r="C5931" s="36" t="s">
        <v>1813</v>
      </c>
      <c r="D5931" s="163" t="s">
        <v>20</v>
      </c>
      <c r="E5931" s="164">
        <v>1</v>
      </c>
      <c r="F5931" s="31">
        <v>150.60300000000001</v>
      </c>
      <c r="G5931" s="54">
        <f t="shared" si="103"/>
        <v>150.60300000000001</v>
      </c>
      <c r="H5931" s="39">
        <f>SUM(G5931:G5931)</f>
        <v>150.60300000000001</v>
      </c>
      <c r="I5931" s="40"/>
      <c r="J5931" s="155">
        <v>0</v>
      </c>
    </row>
    <row r="5932" spans="1:10" ht="15" hidden="1" thickBot="1" x14ac:dyDescent="0.35">
      <c r="A5932" s="222"/>
      <c r="B5932" s="225"/>
      <c r="C5932" s="55"/>
      <c r="D5932" s="166"/>
      <c r="E5932" s="66"/>
      <c r="F5932" s="76" t="s">
        <v>560</v>
      </c>
      <c r="G5932" s="76" t="str">
        <f t="shared" si="103"/>
        <v/>
      </c>
      <c r="H5932" s="77"/>
      <c r="I5932" s="74"/>
      <c r="J5932" s="155">
        <v>0</v>
      </c>
    </row>
    <row r="5933" spans="1:10" ht="15" hidden="1" thickBot="1" x14ac:dyDescent="0.35">
      <c r="A5933" s="220" t="s">
        <v>2329</v>
      </c>
      <c r="B5933" s="223" t="e">
        <f>INDEX(#REF!,MATCH(Composições!A5933,#REF!,0),2)</f>
        <v>#REF!</v>
      </c>
      <c r="C5933" s="41"/>
      <c r="D5933" s="26" t="e">
        <f>TRIM(INDEX(#REF!,MATCH(Composições!A5933,#REF!,0),1))</f>
        <v>#REF!</v>
      </c>
      <c r="E5933" s="27"/>
      <c r="F5933" s="49" t="s">
        <v>560</v>
      </c>
      <c r="G5933" s="28" t="str">
        <f t="shared" si="103"/>
        <v/>
      </c>
      <c r="H5933" s="29"/>
      <c r="I5933" s="30"/>
      <c r="J5933" s="155">
        <v>0</v>
      </c>
    </row>
    <row r="5934" spans="1:10" ht="15" hidden="1" thickBot="1" x14ac:dyDescent="0.35">
      <c r="A5934" s="221"/>
      <c r="B5934" s="224"/>
      <c r="C5934" s="170"/>
      <c r="D5934" s="170"/>
      <c r="E5934" s="171"/>
      <c r="F5934" s="54" t="s">
        <v>560</v>
      </c>
      <c r="G5934" s="54" t="str">
        <f t="shared" si="103"/>
        <v/>
      </c>
      <c r="H5934" s="73"/>
      <c r="I5934" s="74"/>
      <c r="J5934" s="155">
        <v>0</v>
      </c>
    </row>
    <row r="5935" spans="1:10" ht="27" hidden="1" thickBot="1" x14ac:dyDescent="0.35">
      <c r="A5935" s="221"/>
      <c r="B5935" s="224"/>
      <c r="C5935" s="36" t="s">
        <v>817</v>
      </c>
      <c r="D5935" s="163" t="s">
        <v>42</v>
      </c>
      <c r="E5935" s="164">
        <v>1</v>
      </c>
      <c r="F5935" s="31">
        <v>36.150500000000001</v>
      </c>
      <c r="G5935" s="54">
        <f t="shared" si="103"/>
        <v>36.150500000000001</v>
      </c>
      <c r="H5935" s="39">
        <f>SUM(G5935:G5935)</f>
        <v>36.150500000000001</v>
      </c>
      <c r="I5935" s="40"/>
      <c r="J5935" s="155">
        <v>0</v>
      </c>
    </row>
    <row r="5936" spans="1:10" ht="15" hidden="1" thickBot="1" x14ac:dyDescent="0.35">
      <c r="A5936" s="222"/>
      <c r="B5936" s="225"/>
      <c r="C5936" s="55"/>
      <c r="D5936" s="166"/>
      <c r="E5936" s="66"/>
      <c r="F5936" s="76" t="s">
        <v>560</v>
      </c>
      <c r="G5936" s="76" t="str">
        <f t="shared" si="103"/>
        <v/>
      </c>
      <c r="H5936" s="77"/>
      <c r="I5936" s="74"/>
      <c r="J5936" s="155">
        <v>0</v>
      </c>
    </row>
    <row r="5937" spans="1:10" ht="15" hidden="1" thickBot="1" x14ac:dyDescent="0.35">
      <c r="A5937" s="220" t="s">
        <v>2330</v>
      </c>
      <c r="B5937" s="223" t="e">
        <f>INDEX(#REF!,MATCH(Composições!A5937,#REF!,0),2)</f>
        <v>#REF!</v>
      </c>
      <c r="C5937" s="41"/>
      <c r="D5937" s="26" t="e">
        <f>TRIM(INDEX(#REF!,MATCH(Composições!A5937,#REF!,0),1))</f>
        <v>#REF!</v>
      </c>
      <c r="E5937" s="27"/>
      <c r="F5937" s="49" t="s">
        <v>560</v>
      </c>
      <c r="G5937" s="28" t="str">
        <f t="shared" si="103"/>
        <v/>
      </c>
      <c r="H5937" s="29"/>
      <c r="I5937" s="30"/>
      <c r="J5937" s="155">
        <v>0</v>
      </c>
    </row>
    <row r="5938" spans="1:10" ht="15" hidden="1" thickBot="1" x14ac:dyDescent="0.35">
      <c r="A5938" s="221"/>
      <c r="B5938" s="224"/>
      <c r="C5938" s="170"/>
      <c r="D5938" s="170"/>
      <c r="E5938" s="171"/>
      <c r="F5938" s="54" t="s">
        <v>560</v>
      </c>
      <c r="G5938" s="54" t="str">
        <f t="shared" si="103"/>
        <v/>
      </c>
      <c r="H5938" s="73"/>
      <c r="I5938" s="74"/>
      <c r="J5938" s="155">
        <v>0</v>
      </c>
    </row>
    <row r="5939" spans="1:10" ht="27" hidden="1" thickBot="1" x14ac:dyDescent="0.35">
      <c r="A5939" s="221"/>
      <c r="B5939" s="224"/>
      <c r="C5939" s="36" t="s">
        <v>1838</v>
      </c>
      <c r="D5939" s="163" t="s">
        <v>20</v>
      </c>
      <c r="E5939" s="164">
        <v>1</v>
      </c>
      <c r="F5939" s="31">
        <v>687.90499999999997</v>
      </c>
      <c r="G5939" s="54">
        <f t="shared" si="103"/>
        <v>687.90499999999997</v>
      </c>
      <c r="H5939" s="39">
        <f>SUM(G5939:G5939)</f>
        <v>687.90499999999997</v>
      </c>
      <c r="I5939" s="40"/>
      <c r="J5939" s="155">
        <v>0</v>
      </c>
    </row>
    <row r="5940" spans="1:10" ht="15" hidden="1" thickBot="1" x14ac:dyDescent="0.35">
      <c r="A5940" s="222"/>
      <c r="B5940" s="225"/>
      <c r="C5940" s="55"/>
      <c r="D5940" s="166"/>
      <c r="E5940" s="66"/>
      <c r="F5940" s="76" t="s">
        <v>560</v>
      </c>
      <c r="G5940" s="76" t="str">
        <f t="shared" si="103"/>
        <v/>
      </c>
      <c r="H5940" s="77"/>
      <c r="I5940" s="74"/>
      <c r="J5940" s="155">
        <v>0</v>
      </c>
    </row>
    <row r="5941" spans="1:10" ht="15" hidden="1" thickBot="1" x14ac:dyDescent="0.35">
      <c r="A5941" s="226" t="s">
        <v>2331</v>
      </c>
      <c r="B5941" s="223" t="e">
        <f>INDEX(#REF!,MATCH(Composições!A5941,#REF!,0),2)</f>
        <v>#REF!</v>
      </c>
      <c r="C5941" s="41"/>
      <c r="D5941" s="26" t="e">
        <f>TRIM(INDEX(#REF!,MATCH(Composições!A5941,#REF!,0),1))</f>
        <v>#REF!</v>
      </c>
      <c r="E5941" s="27"/>
      <c r="F5941" s="49" t="s">
        <v>560</v>
      </c>
      <c r="G5941" s="28" t="str">
        <f t="shared" si="103"/>
        <v/>
      </c>
      <c r="H5941" s="29"/>
      <c r="I5941" s="30"/>
      <c r="J5941" s="155">
        <v>0</v>
      </c>
    </row>
    <row r="5942" spans="1:10" ht="15" hidden="1" thickBot="1" x14ac:dyDescent="0.35">
      <c r="A5942" s="227"/>
      <c r="B5942" s="224"/>
      <c r="C5942" s="170"/>
      <c r="D5942" s="170"/>
      <c r="E5942" s="171"/>
      <c r="F5942" s="54" t="s">
        <v>560</v>
      </c>
      <c r="G5942" s="54" t="str">
        <f t="shared" si="103"/>
        <v/>
      </c>
      <c r="H5942" s="73"/>
      <c r="I5942" s="74"/>
      <c r="J5942" s="155">
        <v>0</v>
      </c>
    </row>
    <row r="5943" spans="1:10" ht="15" hidden="1" thickBot="1" x14ac:dyDescent="0.35">
      <c r="A5943" s="227"/>
      <c r="B5943" s="224"/>
      <c r="C5943" s="36" t="s">
        <v>1215</v>
      </c>
      <c r="D5943" s="163" t="s">
        <v>12</v>
      </c>
      <c r="E5943" s="164">
        <v>0.08</v>
      </c>
      <c r="F5943" s="31">
        <v>20.484999999999999</v>
      </c>
      <c r="G5943" s="54">
        <f t="shared" si="103"/>
        <v>1.6388</v>
      </c>
      <c r="H5943" s="39">
        <f>SUM(G5943:G5947)</f>
        <v>2.8362799999999999</v>
      </c>
      <c r="I5943" s="40"/>
      <c r="J5943" s="155">
        <v>0</v>
      </c>
    </row>
    <row r="5944" spans="1:10" ht="15" hidden="1" thickBot="1" x14ac:dyDescent="0.35">
      <c r="A5944" s="227"/>
      <c r="B5944" s="224"/>
      <c r="C5944" s="36" t="s">
        <v>745</v>
      </c>
      <c r="D5944" s="163" t="s">
        <v>12</v>
      </c>
      <c r="E5944" s="164">
        <v>0.08</v>
      </c>
      <c r="F5944" s="31">
        <v>14.968499999999999</v>
      </c>
      <c r="G5944" s="54">
        <f t="shared" si="103"/>
        <v>1.1974799999999999</v>
      </c>
      <c r="H5944" s="44"/>
      <c r="I5944" s="40"/>
      <c r="J5944" s="155">
        <v>0</v>
      </c>
    </row>
    <row r="5945" spans="1:10" ht="15" hidden="1" thickBot="1" x14ac:dyDescent="0.35">
      <c r="A5945" s="227"/>
      <c r="B5945" s="224"/>
      <c r="C5945" s="36" t="s">
        <v>2375</v>
      </c>
      <c r="D5945" s="163" t="s">
        <v>20</v>
      </c>
      <c r="E5945" s="164">
        <v>1</v>
      </c>
      <c r="F5945" s="31">
        <v>0</v>
      </c>
      <c r="G5945" s="54">
        <f t="shared" si="103"/>
        <v>0</v>
      </c>
      <c r="H5945" s="44"/>
      <c r="I5945" s="40"/>
      <c r="J5945" s="155">
        <v>0</v>
      </c>
    </row>
    <row r="5946" spans="1:10" ht="15" hidden="1" thickBot="1" x14ac:dyDescent="0.35">
      <c r="A5946" s="227"/>
      <c r="B5946" s="224"/>
      <c r="C5946" s="36" t="s">
        <v>2376</v>
      </c>
      <c r="D5946" s="163" t="s">
        <v>20</v>
      </c>
      <c r="E5946" s="164">
        <v>1</v>
      </c>
      <c r="F5946" s="31">
        <v>0</v>
      </c>
      <c r="G5946" s="54">
        <f t="shared" si="103"/>
        <v>0</v>
      </c>
      <c r="H5946" s="44"/>
      <c r="I5946" s="40"/>
      <c r="J5946" s="155">
        <v>0</v>
      </c>
    </row>
    <row r="5947" spans="1:10" ht="15" hidden="1" thickBot="1" x14ac:dyDescent="0.35">
      <c r="A5947" s="227"/>
      <c r="B5947" s="224"/>
      <c r="C5947" s="36" t="s">
        <v>2377</v>
      </c>
      <c r="D5947" s="163" t="s">
        <v>20</v>
      </c>
      <c r="E5947" s="164">
        <v>0.04</v>
      </c>
      <c r="F5947" s="31">
        <v>0</v>
      </c>
      <c r="G5947" s="54">
        <f t="shared" si="103"/>
        <v>0</v>
      </c>
      <c r="H5947" s="44"/>
      <c r="I5947" s="40"/>
      <c r="J5947" s="155">
        <v>0</v>
      </c>
    </row>
    <row r="5948" spans="1:10" ht="15" hidden="1" thickBot="1" x14ac:dyDescent="0.35">
      <c r="A5948" s="228"/>
      <c r="B5948" s="225"/>
      <c r="C5948" s="36"/>
      <c r="D5948" s="163"/>
      <c r="E5948" s="164"/>
      <c r="F5948" s="31" t="s">
        <v>560</v>
      </c>
      <c r="G5948" s="54"/>
      <c r="H5948" s="44"/>
      <c r="I5948" s="40"/>
      <c r="J5948" s="155">
        <v>0</v>
      </c>
    </row>
    <row r="5949" spans="1:10" ht="15" hidden="1" thickBot="1" x14ac:dyDescent="0.35">
      <c r="A5949" s="220" t="s">
        <v>2332</v>
      </c>
      <c r="B5949" s="223" t="e">
        <f>INDEX(#REF!,MATCH(Composições!A5949,#REF!,0),2)</f>
        <v>#REF!</v>
      </c>
      <c r="C5949" s="41"/>
      <c r="D5949" s="26" t="e">
        <f>TRIM(INDEX(#REF!,MATCH(Composições!A5949,#REF!,0),1))</f>
        <v>#REF!</v>
      </c>
      <c r="E5949" s="27"/>
      <c r="F5949" s="49" t="s">
        <v>560</v>
      </c>
      <c r="G5949" s="28" t="str">
        <f t="shared" ref="G5949:G5965" si="104">IF(ISNUMBER(F5949),E5949*F5949,"")</f>
        <v/>
      </c>
      <c r="H5949" s="29"/>
      <c r="I5949" s="30"/>
      <c r="J5949" s="155">
        <v>0</v>
      </c>
    </row>
    <row r="5950" spans="1:10" ht="15" hidden="1" thickBot="1" x14ac:dyDescent="0.35">
      <c r="A5950" s="221"/>
      <c r="B5950" s="224"/>
      <c r="C5950" s="170"/>
      <c r="D5950" s="170"/>
      <c r="E5950" s="171"/>
      <c r="F5950" s="54" t="s">
        <v>560</v>
      </c>
      <c r="G5950" s="54" t="str">
        <f t="shared" si="104"/>
        <v/>
      </c>
      <c r="H5950" s="73"/>
      <c r="I5950" s="74"/>
      <c r="J5950" s="155">
        <v>0</v>
      </c>
    </row>
    <row r="5951" spans="1:10" ht="27" hidden="1" thickBot="1" x14ac:dyDescent="0.35">
      <c r="A5951" s="221"/>
      <c r="B5951" s="224"/>
      <c r="C5951" s="36" t="s">
        <v>1739</v>
      </c>
      <c r="D5951" s="163" t="s">
        <v>20</v>
      </c>
      <c r="E5951" s="164">
        <v>1</v>
      </c>
      <c r="F5951" s="31">
        <v>49.129999999999995</v>
      </c>
      <c r="G5951" s="54">
        <f t="shared" si="104"/>
        <v>49.129999999999995</v>
      </c>
      <c r="H5951" s="39">
        <f>SUM(G5951:G5951)</f>
        <v>49.129999999999995</v>
      </c>
      <c r="I5951" s="40"/>
      <c r="J5951" s="155">
        <v>0</v>
      </c>
    </row>
    <row r="5952" spans="1:10" ht="15" hidden="1" thickBot="1" x14ac:dyDescent="0.35">
      <c r="A5952" s="222"/>
      <c r="B5952" s="225"/>
      <c r="C5952" s="55"/>
      <c r="D5952" s="166"/>
      <c r="E5952" s="66"/>
      <c r="F5952" s="76" t="s">
        <v>560</v>
      </c>
      <c r="G5952" s="76" t="str">
        <f t="shared" si="104"/>
        <v/>
      </c>
      <c r="H5952" s="77"/>
      <c r="I5952" s="74"/>
      <c r="J5952" s="155">
        <v>0</v>
      </c>
    </row>
    <row r="5953" spans="1:10" ht="15" hidden="1" thickBot="1" x14ac:dyDescent="0.35">
      <c r="A5953" s="220" t="s">
        <v>2333</v>
      </c>
      <c r="B5953" s="223" t="e">
        <f>INDEX(#REF!,MATCH(Composições!A5953,#REF!,0),2)</f>
        <v>#REF!</v>
      </c>
      <c r="C5953" s="41"/>
      <c r="D5953" s="26" t="e">
        <f>TRIM(INDEX(#REF!,MATCH(Composições!A5953,#REF!,0),1))</f>
        <v>#REF!</v>
      </c>
      <c r="E5953" s="27"/>
      <c r="F5953" s="49" t="s">
        <v>560</v>
      </c>
      <c r="G5953" s="28" t="str">
        <f t="shared" si="104"/>
        <v/>
      </c>
      <c r="H5953" s="29"/>
      <c r="I5953" s="30"/>
      <c r="J5953" s="155">
        <v>0</v>
      </c>
    </row>
    <row r="5954" spans="1:10" ht="15" hidden="1" thickBot="1" x14ac:dyDescent="0.35">
      <c r="A5954" s="221"/>
      <c r="B5954" s="224"/>
      <c r="C5954" s="170"/>
      <c r="D5954" s="170"/>
      <c r="E5954" s="171"/>
      <c r="F5954" s="54" t="s">
        <v>560</v>
      </c>
      <c r="G5954" s="54" t="str">
        <f t="shared" si="104"/>
        <v/>
      </c>
      <c r="H5954" s="73"/>
      <c r="I5954" s="74"/>
      <c r="J5954" s="155">
        <v>0</v>
      </c>
    </row>
    <row r="5955" spans="1:10" ht="15" hidden="1" thickBot="1" x14ac:dyDescent="0.35">
      <c r="A5955" s="221"/>
      <c r="B5955" s="224"/>
      <c r="C5955" s="36" t="s">
        <v>1707</v>
      </c>
      <c r="D5955" s="163" t="s">
        <v>20</v>
      </c>
      <c r="E5955" s="164">
        <v>1</v>
      </c>
      <c r="F5955" s="31">
        <v>95.981999999999999</v>
      </c>
      <c r="G5955" s="54">
        <f t="shared" si="104"/>
        <v>95.981999999999999</v>
      </c>
      <c r="H5955" s="39">
        <f>SUM(G5955:G5955)</f>
        <v>95.981999999999999</v>
      </c>
      <c r="I5955" s="40"/>
      <c r="J5955" s="155">
        <v>0</v>
      </c>
    </row>
    <row r="5956" spans="1:10" ht="15" hidden="1" thickBot="1" x14ac:dyDescent="0.35">
      <c r="A5956" s="222"/>
      <c r="B5956" s="225"/>
      <c r="C5956" s="55"/>
      <c r="D5956" s="166"/>
      <c r="E5956" s="66"/>
      <c r="F5956" s="76" t="s">
        <v>560</v>
      </c>
      <c r="G5956" s="76" t="str">
        <f t="shared" si="104"/>
        <v/>
      </c>
      <c r="H5956" s="77"/>
      <c r="I5956" s="74"/>
      <c r="J5956" s="155">
        <v>0</v>
      </c>
    </row>
    <row r="5957" spans="1:10" ht="15" hidden="1" thickBot="1" x14ac:dyDescent="0.35">
      <c r="A5957" s="220" t="s">
        <v>2334</v>
      </c>
      <c r="B5957" s="223" t="e">
        <f>INDEX(#REF!,MATCH(Composições!A5957,#REF!,0),2)</f>
        <v>#REF!</v>
      </c>
      <c r="C5957" s="41"/>
      <c r="D5957" s="26" t="e">
        <f>TRIM(INDEX(#REF!,MATCH(Composições!A5957,#REF!,0),1))</f>
        <v>#REF!</v>
      </c>
      <c r="E5957" s="27"/>
      <c r="F5957" s="49" t="s">
        <v>560</v>
      </c>
      <c r="G5957" s="28" t="str">
        <f t="shared" si="104"/>
        <v/>
      </c>
      <c r="H5957" s="29"/>
      <c r="I5957" s="30"/>
      <c r="J5957" s="155">
        <v>0</v>
      </c>
    </row>
    <row r="5958" spans="1:10" ht="15" hidden="1" thickBot="1" x14ac:dyDescent="0.35">
      <c r="A5958" s="221"/>
      <c r="B5958" s="224"/>
      <c r="C5958" s="170"/>
      <c r="D5958" s="170"/>
      <c r="E5958" s="171"/>
      <c r="F5958" s="54" t="s">
        <v>560</v>
      </c>
      <c r="G5958" s="54" t="str">
        <f t="shared" si="104"/>
        <v/>
      </c>
      <c r="H5958" s="73"/>
      <c r="I5958" s="74"/>
      <c r="J5958" s="155">
        <v>0</v>
      </c>
    </row>
    <row r="5959" spans="1:10" ht="15" hidden="1" thickBot="1" x14ac:dyDescent="0.35">
      <c r="A5959" s="221"/>
      <c r="B5959" s="224"/>
      <c r="C5959" s="36" t="s">
        <v>1824</v>
      </c>
      <c r="D5959" s="163" t="s">
        <v>20</v>
      </c>
      <c r="E5959" s="164">
        <v>0.5</v>
      </c>
      <c r="F5959" s="31">
        <v>199.988</v>
      </c>
      <c r="G5959" s="54">
        <f t="shared" si="104"/>
        <v>99.994</v>
      </c>
      <c r="H5959" s="39">
        <f>SUM(G5959:G5959)</f>
        <v>99.994</v>
      </c>
      <c r="I5959" s="40"/>
      <c r="J5959" s="155">
        <v>0</v>
      </c>
    </row>
    <row r="5960" spans="1:10" ht="15" hidden="1" thickBot="1" x14ac:dyDescent="0.35">
      <c r="A5960" s="222"/>
      <c r="B5960" s="225"/>
      <c r="C5960" s="55"/>
      <c r="D5960" s="166"/>
      <c r="E5960" s="66"/>
      <c r="F5960" s="76" t="s">
        <v>560</v>
      </c>
      <c r="G5960" s="76" t="str">
        <f t="shared" si="104"/>
        <v/>
      </c>
      <c r="H5960" s="77"/>
      <c r="I5960" s="74"/>
      <c r="J5960" s="155">
        <v>0</v>
      </c>
    </row>
    <row r="5961" spans="1:10" ht="15" thickBot="1" x14ac:dyDescent="0.35">
      <c r="A5961" s="226" t="s">
        <v>2335</v>
      </c>
      <c r="B5961" s="223" t="str">
        <f>INDEX(Orçamentária!A:B,MATCH(Composições!A5961,Orçamentária!A:A,0),2)</f>
        <v>Quadro 400x300x200 mm – fornecimento e instalação</v>
      </c>
      <c r="C5961" s="41"/>
      <c r="D5961" s="26" t="str">
        <f>TRIM(INDEX(Orçamentária!C:C,MATCH(Composições!A5961,Orçamentária!A:A,0),1))</f>
        <v>un</v>
      </c>
      <c r="E5961" s="27"/>
      <c r="F5961" s="49" t="s">
        <v>560</v>
      </c>
      <c r="G5961" s="28" t="str">
        <f t="shared" si="104"/>
        <v/>
      </c>
      <c r="H5961" s="29"/>
      <c r="I5961" s="30"/>
      <c r="J5961" s="155">
        <v>8</v>
      </c>
    </row>
    <row r="5962" spans="1:10" x14ac:dyDescent="0.3">
      <c r="A5962" s="227"/>
      <c r="B5962" s="224"/>
      <c r="C5962" s="170"/>
      <c r="D5962" s="170"/>
      <c r="E5962" s="171"/>
      <c r="F5962" s="54" t="s">
        <v>560</v>
      </c>
      <c r="G5962" s="54" t="str">
        <f t="shared" si="104"/>
        <v/>
      </c>
      <c r="H5962" s="73"/>
      <c r="I5962" s="74"/>
      <c r="J5962" s="155">
        <v>8</v>
      </c>
    </row>
    <row r="5963" spans="1:10" ht="39.6" x14ac:dyDescent="0.3">
      <c r="A5963" s="227"/>
      <c r="B5963" s="224"/>
      <c r="C5963" s="36" t="s">
        <v>1826</v>
      </c>
      <c r="D5963" s="163" t="s">
        <v>292</v>
      </c>
      <c r="E5963" s="164">
        <v>1</v>
      </c>
      <c r="F5963" s="31">
        <v>474.08</v>
      </c>
      <c r="G5963" s="54">
        <f t="shared" si="104"/>
        <v>474.08</v>
      </c>
      <c r="H5963" s="39">
        <f>SUM(G5963:G5965)</f>
        <v>529.54944620000003</v>
      </c>
      <c r="I5963" s="40"/>
      <c r="J5963" s="155">
        <v>8</v>
      </c>
    </row>
    <row r="5964" spans="1:10" x14ac:dyDescent="0.3">
      <c r="A5964" s="227"/>
      <c r="B5964" s="224"/>
      <c r="C5964" s="36" t="s">
        <v>1214</v>
      </c>
      <c r="D5964" s="163" t="s">
        <v>744</v>
      </c>
      <c r="E5964" s="164">
        <v>1.5233000000000001</v>
      </c>
      <c r="F5964" s="31">
        <v>15.928999999999998</v>
      </c>
      <c r="G5964" s="54">
        <f t="shared" si="104"/>
        <v>24.264645699999999</v>
      </c>
      <c r="H5964" s="44"/>
      <c r="I5964" s="40"/>
      <c r="J5964" s="155">
        <v>8</v>
      </c>
    </row>
    <row r="5965" spans="1:10" x14ac:dyDescent="0.3">
      <c r="A5965" s="227"/>
      <c r="B5965" s="224"/>
      <c r="C5965" s="36" t="s">
        <v>1215</v>
      </c>
      <c r="D5965" s="163" t="s">
        <v>744</v>
      </c>
      <c r="E5965" s="164">
        <v>1.5233000000000001</v>
      </c>
      <c r="F5965" s="31">
        <v>20.484999999999999</v>
      </c>
      <c r="G5965" s="54">
        <f t="shared" si="104"/>
        <v>31.204800500000001</v>
      </c>
      <c r="H5965" s="44"/>
      <c r="I5965" s="40"/>
      <c r="J5965" s="155">
        <v>8</v>
      </c>
    </row>
    <row r="5966" spans="1:10" ht="15" thickBot="1" x14ac:dyDescent="0.35">
      <c r="A5966" s="228"/>
      <c r="B5966" s="225"/>
      <c r="C5966" s="36"/>
      <c r="D5966" s="163"/>
      <c r="E5966" s="164"/>
      <c r="F5966" s="31" t="s">
        <v>560</v>
      </c>
      <c r="G5966" s="54"/>
      <c r="H5966" s="44"/>
      <c r="I5966" s="40"/>
      <c r="J5966" s="155">
        <v>8</v>
      </c>
    </row>
    <row r="5967" spans="1:10" ht="15" thickBot="1" x14ac:dyDescent="0.35">
      <c r="A5967" s="226" t="s">
        <v>2336</v>
      </c>
      <c r="B5967" s="223" t="str">
        <f>INDEX(Orçamentária!A:B,MATCH(Composições!A5967,Orçamentária!A:A,0),2)</f>
        <v>Concreto Usinado, fck = 25MPa</v>
      </c>
      <c r="C5967" s="41"/>
      <c r="D5967" s="26" t="str">
        <f>TRIM(INDEX(Orçamentária!C:C,MATCH(Composições!A5967,Orçamentária!A:A,0),1))</f>
        <v>m3</v>
      </c>
      <c r="E5967" s="27"/>
      <c r="F5967" s="49" t="s">
        <v>560</v>
      </c>
      <c r="G5967" s="28" t="str">
        <f t="shared" ref="G5967:G5974" si="105">IF(ISNUMBER(F5967),E5967*F5967,"")</f>
        <v/>
      </c>
      <c r="H5967" s="29"/>
      <c r="I5967" s="30"/>
      <c r="J5967" s="155">
        <v>125</v>
      </c>
    </row>
    <row r="5968" spans="1:10" x14ac:dyDescent="0.3">
      <c r="A5968" s="227"/>
      <c r="B5968" s="224"/>
      <c r="C5968" s="170"/>
      <c r="D5968" s="170"/>
      <c r="E5968" s="171"/>
      <c r="F5968" s="54" t="s">
        <v>560</v>
      </c>
      <c r="G5968" s="54" t="str">
        <f t="shared" si="105"/>
        <v/>
      </c>
      <c r="H5968" s="73"/>
      <c r="I5968" s="74"/>
      <c r="J5968" s="155">
        <v>125</v>
      </c>
    </row>
    <row r="5969" spans="1:10" ht="39.6" x14ac:dyDescent="0.3">
      <c r="A5969" s="227"/>
      <c r="B5969" s="224"/>
      <c r="C5969" s="36" t="s">
        <v>1729</v>
      </c>
      <c r="D5969" s="163" t="s">
        <v>122</v>
      </c>
      <c r="E5969" s="164">
        <v>1.103</v>
      </c>
      <c r="F5969" s="31">
        <v>288.29450000000003</v>
      </c>
      <c r="G5969" s="54">
        <f t="shared" si="105"/>
        <v>317.9888335</v>
      </c>
      <c r="H5969" s="39">
        <f>SUM(G5969:G5974)</f>
        <v>340.78533199999998</v>
      </c>
      <c r="I5969" s="40"/>
      <c r="J5969" s="155">
        <v>125</v>
      </c>
    </row>
    <row r="5970" spans="1:10" x14ac:dyDescent="0.3">
      <c r="A5970" s="227"/>
      <c r="B5970" s="224"/>
      <c r="C5970" s="36" t="s">
        <v>1036</v>
      </c>
      <c r="D5970" s="163" t="s">
        <v>744</v>
      </c>
      <c r="E5970" s="164">
        <v>0.17399999999999999</v>
      </c>
      <c r="F5970" s="31">
        <v>20.128</v>
      </c>
      <c r="G5970" s="54">
        <f t="shared" si="105"/>
        <v>3.5022719999999996</v>
      </c>
      <c r="H5970" s="44"/>
      <c r="I5970" s="40"/>
      <c r="J5970" s="155">
        <v>125</v>
      </c>
    </row>
    <row r="5971" spans="1:10" x14ac:dyDescent="0.3">
      <c r="A5971" s="227"/>
      <c r="B5971" s="224"/>
      <c r="C5971" s="36" t="s">
        <v>752</v>
      </c>
      <c r="D5971" s="163" t="s">
        <v>744</v>
      </c>
      <c r="E5971" s="164">
        <v>0.17399999999999999</v>
      </c>
      <c r="F5971" s="31">
        <v>20.314999999999998</v>
      </c>
      <c r="G5971" s="54">
        <f t="shared" si="105"/>
        <v>3.5348099999999993</v>
      </c>
      <c r="H5971" s="44"/>
      <c r="I5971" s="40"/>
      <c r="J5971" s="155">
        <v>125</v>
      </c>
    </row>
    <row r="5972" spans="1:10" x14ac:dyDescent="0.3">
      <c r="A5972" s="227"/>
      <c r="B5972" s="224"/>
      <c r="C5972" s="36" t="s">
        <v>745</v>
      </c>
      <c r="D5972" s="163" t="s">
        <v>744</v>
      </c>
      <c r="E5972" s="164">
        <v>1.0449999999999999</v>
      </c>
      <c r="F5972" s="31">
        <v>14.968499999999999</v>
      </c>
      <c r="G5972" s="54">
        <f t="shared" si="105"/>
        <v>15.642082499999997</v>
      </c>
      <c r="H5972" s="44"/>
      <c r="I5972" s="40"/>
      <c r="J5972" s="155">
        <v>125</v>
      </c>
    </row>
    <row r="5973" spans="1:10" ht="26.4" x14ac:dyDescent="0.3">
      <c r="A5973" s="227"/>
      <c r="B5973" s="224"/>
      <c r="C5973" s="36" t="s">
        <v>1206</v>
      </c>
      <c r="D5973" s="163" t="s">
        <v>983</v>
      </c>
      <c r="E5973" s="164">
        <v>5.6000000000000001E-2</v>
      </c>
      <c r="F5973" s="31">
        <v>1.343</v>
      </c>
      <c r="G5973" s="54">
        <f t="shared" si="105"/>
        <v>7.5207999999999997E-2</v>
      </c>
      <c r="H5973" s="44"/>
      <c r="I5973" s="40"/>
      <c r="J5973" s="155">
        <v>125</v>
      </c>
    </row>
    <row r="5974" spans="1:10" ht="26.4" x14ac:dyDescent="0.3">
      <c r="A5974" s="227"/>
      <c r="B5974" s="224"/>
      <c r="C5974" s="36" t="s">
        <v>1207</v>
      </c>
      <c r="D5974" s="163" t="s">
        <v>985</v>
      </c>
      <c r="E5974" s="164">
        <v>0.11799999999999999</v>
      </c>
      <c r="F5974" s="31">
        <v>0.35699999999999998</v>
      </c>
      <c r="G5974" s="54">
        <f t="shared" si="105"/>
        <v>4.2125999999999997E-2</v>
      </c>
      <c r="H5974" s="44"/>
      <c r="I5974" s="40"/>
      <c r="J5974" s="155">
        <v>125</v>
      </c>
    </row>
    <row r="5975" spans="1:10" ht="15" thickBot="1" x14ac:dyDescent="0.35">
      <c r="A5975" s="228"/>
      <c r="B5975" s="225"/>
      <c r="C5975" s="36"/>
      <c r="D5975" s="163"/>
      <c r="E5975" s="164"/>
      <c r="F5975" s="31" t="s">
        <v>560</v>
      </c>
      <c r="G5975" s="54"/>
      <c r="H5975" s="44"/>
      <c r="I5975" s="40"/>
      <c r="J5975" s="155">
        <v>125</v>
      </c>
    </row>
    <row r="5976" spans="1:10" ht="15" thickBot="1" x14ac:dyDescent="0.35">
      <c r="A5976" s="226" t="s">
        <v>2337</v>
      </c>
      <c r="B5976" s="223" t="str">
        <f>INDEX(Orçamentária!A:B,MATCH(Composições!A5976,Orçamentária!A:A,0),2)</f>
        <v>Estaca escavada mecanicamente - 40cm de diâmetro</v>
      </c>
      <c r="C5976" s="41"/>
      <c r="D5976" s="26" t="str">
        <f>TRIM(INDEX(Orçamentária!C:C,MATCH(Composições!A5976,Orçamentária!A:A,0),1))</f>
        <v>m</v>
      </c>
      <c r="E5976" s="27"/>
      <c r="F5976" s="49" t="s">
        <v>560</v>
      </c>
      <c r="G5976" s="28" t="str">
        <f t="shared" ref="G5976:G5985" si="106">IF(ISNUMBER(F5976),E5976*F5976,"")</f>
        <v/>
      </c>
      <c r="H5976" s="29"/>
      <c r="I5976" s="30"/>
      <c r="J5976" s="155">
        <v>495</v>
      </c>
    </row>
    <row r="5977" spans="1:10" x14ac:dyDescent="0.3">
      <c r="A5977" s="227"/>
      <c r="B5977" s="224"/>
      <c r="C5977" s="170"/>
      <c r="D5977" s="170"/>
      <c r="E5977" s="171"/>
      <c r="F5977" s="54" t="s">
        <v>560</v>
      </c>
      <c r="G5977" s="54" t="str">
        <f t="shared" si="106"/>
        <v/>
      </c>
      <c r="H5977" s="73"/>
      <c r="I5977" s="74"/>
      <c r="J5977" s="155">
        <v>495</v>
      </c>
    </row>
    <row r="5978" spans="1:10" ht="39.6" x14ac:dyDescent="0.3">
      <c r="A5978" s="227"/>
      <c r="B5978" s="224"/>
      <c r="C5978" s="36" t="s">
        <v>1730</v>
      </c>
      <c r="D5978" s="163" t="s">
        <v>122</v>
      </c>
      <c r="E5978" s="164">
        <v>0.1426</v>
      </c>
      <c r="F5978" s="31">
        <v>276.3605</v>
      </c>
      <c r="G5978" s="54">
        <f t="shared" si="106"/>
        <v>39.409007299999999</v>
      </c>
      <c r="H5978" s="39">
        <f>SUM(G5978:G5985)</f>
        <v>75.068153179820001</v>
      </c>
      <c r="I5978" s="40"/>
      <c r="J5978" s="155">
        <v>495</v>
      </c>
    </row>
    <row r="5979" spans="1:10" x14ac:dyDescent="0.3">
      <c r="A5979" s="227"/>
      <c r="B5979" s="224"/>
      <c r="C5979" s="36" t="s">
        <v>745</v>
      </c>
      <c r="D5979" s="163" t="s">
        <v>744</v>
      </c>
      <c r="E5979" s="164">
        <v>0.27950000000000003</v>
      </c>
      <c r="F5979" s="31">
        <v>14.968499999999999</v>
      </c>
      <c r="G5979" s="54">
        <f t="shared" si="106"/>
        <v>4.18369575</v>
      </c>
      <c r="H5979" s="44"/>
      <c r="I5979" s="40"/>
      <c r="J5979" s="155">
        <v>495</v>
      </c>
    </row>
    <row r="5980" spans="1:10" ht="52.8" x14ac:dyDescent="0.3">
      <c r="A5980" s="227"/>
      <c r="B5980" s="224"/>
      <c r="C5980" s="36" t="s">
        <v>1659</v>
      </c>
      <c r="D5980" s="163" t="s">
        <v>983</v>
      </c>
      <c r="E5980" s="164">
        <v>3.4200000000000001E-2</v>
      </c>
      <c r="F5980" s="31">
        <v>241.39150000000001</v>
      </c>
      <c r="G5980" s="54">
        <f t="shared" si="106"/>
        <v>8.2555893000000005</v>
      </c>
      <c r="H5980" s="44"/>
      <c r="I5980" s="40"/>
      <c r="J5980" s="155">
        <v>495</v>
      </c>
    </row>
    <row r="5981" spans="1:10" ht="52.8" x14ac:dyDescent="0.3">
      <c r="A5981" s="227"/>
      <c r="B5981" s="224"/>
      <c r="C5981" s="36" t="s">
        <v>1665</v>
      </c>
      <c r="D5981" s="163" t="s">
        <v>985</v>
      </c>
      <c r="E5981" s="164">
        <v>6.1199999999999997E-2</v>
      </c>
      <c r="F5981" s="31">
        <v>95.846000000000004</v>
      </c>
      <c r="G5981" s="54">
        <f t="shared" si="106"/>
        <v>5.8657751999999999</v>
      </c>
      <c r="H5981" s="44"/>
      <c r="I5981" s="40"/>
      <c r="J5981" s="155">
        <v>495</v>
      </c>
    </row>
    <row r="5982" spans="1:10" ht="26.4" x14ac:dyDescent="0.3">
      <c r="A5982" s="227"/>
      <c r="B5982" s="224"/>
      <c r="C5982" s="36" t="s">
        <v>821</v>
      </c>
      <c r="D5982" s="163" t="s">
        <v>744</v>
      </c>
      <c r="E5982" s="164">
        <v>6.4000000000000003E-3</v>
      </c>
      <c r="F5982" s="31">
        <v>89.768500000000003</v>
      </c>
      <c r="G5982" s="54">
        <f t="shared" si="106"/>
        <v>0.5745184000000001</v>
      </c>
      <c r="H5982" s="44"/>
      <c r="I5982" s="40"/>
      <c r="J5982" s="155">
        <v>495</v>
      </c>
    </row>
    <row r="5983" spans="1:10" ht="26.4" x14ac:dyDescent="0.3">
      <c r="A5983" s="227"/>
      <c r="B5983" s="224"/>
      <c r="C5983" s="36" t="s">
        <v>1673</v>
      </c>
      <c r="D5983" s="163" t="s">
        <v>939</v>
      </c>
      <c r="E5983" s="164">
        <v>1.3913</v>
      </c>
      <c r="F5983" s="31">
        <v>11.376320100000001</v>
      </c>
      <c r="G5983" s="54">
        <f t="shared" si="106"/>
        <v>15.827874155130001</v>
      </c>
      <c r="H5983" s="44"/>
      <c r="I5983" s="40"/>
      <c r="J5983" s="155">
        <v>495</v>
      </c>
    </row>
    <row r="5984" spans="1:10" ht="26.4" x14ac:dyDescent="0.3">
      <c r="A5984" s="227"/>
      <c r="B5984" s="224"/>
      <c r="C5984" s="36" t="s">
        <v>1929</v>
      </c>
      <c r="D5984" s="163" t="s">
        <v>1512</v>
      </c>
      <c r="E5984" s="164">
        <v>5.2400000000000002E-2</v>
      </c>
      <c r="F5984" s="31">
        <v>1.9546684999999999</v>
      </c>
      <c r="G5984" s="54">
        <f t="shared" si="106"/>
        <v>0.10242462939999999</v>
      </c>
      <c r="H5984" s="44"/>
      <c r="I5984" s="40"/>
      <c r="J5984" s="155">
        <v>495</v>
      </c>
    </row>
    <row r="5985" spans="1:10" ht="52.8" x14ac:dyDescent="0.3">
      <c r="A5985" s="227"/>
      <c r="B5985" s="224"/>
      <c r="C5985" s="36" t="s">
        <v>1931</v>
      </c>
      <c r="D5985" s="163" t="s">
        <v>122</v>
      </c>
      <c r="E5985" s="164">
        <v>0.15709999999999999</v>
      </c>
      <c r="F5985" s="31">
        <v>5.4059098999999993</v>
      </c>
      <c r="G5985" s="54">
        <f t="shared" si="106"/>
        <v>0.84926844528999978</v>
      </c>
      <c r="H5985" s="44"/>
      <c r="I5985" s="40"/>
      <c r="J5985" s="155">
        <v>495</v>
      </c>
    </row>
    <row r="5986" spans="1:10" ht="15" thickBot="1" x14ac:dyDescent="0.35">
      <c r="A5986" s="228"/>
      <c r="B5986" s="225"/>
      <c r="C5986" s="36"/>
      <c r="D5986" s="163"/>
      <c r="E5986" s="164"/>
      <c r="F5986" s="31" t="s">
        <v>560</v>
      </c>
      <c r="G5986" s="54"/>
      <c r="H5986" s="44"/>
      <c r="I5986" s="40"/>
      <c r="J5986" s="155">
        <v>495</v>
      </c>
    </row>
    <row r="5987" spans="1:10" ht="15" thickBot="1" x14ac:dyDescent="0.35">
      <c r="A5987" s="226" t="s">
        <v>2338</v>
      </c>
      <c r="B5987" s="223" t="str">
        <f>INDEX(Orçamentária!A:B,MATCH(Composições!A5987,Orçamentária!A:A,0),2)</f>
        <v>Arrasamento mecânico de estacas de até 40cm de diâmetro</v>
      </c>
      <c r="C5987" s="41"/>
      <c r="D5987" s="26" t="str">
        <f>TRIM(INDEX(Orçamentária!C:C,MATCH(Composições!A5987,Orçamentária!A:A,0),1))</f>
        <v>un</v>
      </c>
      <c r="E5987" s="27"/>
      <c r="F5987" s="49" t="s">
        <v>560</v>
      </c>
      <c r="G5987" s="28" t="str">
        <f>IF(ISNUMBER(F5987),E5987*F5987,"")</f>
        <v/>
      </c>
      <c r="H5987" s="29"/>
      <c r="I5987" s="30"/>
      <c r="J5987" s="155">
        <v>45</v>
      </c>
    </row>
    <row r="5988" spans="1:10" x14ac:dyDescent="0.3">
      <c r="A5988" s="227"/>
      <c r="B5988" s="224"/>
      <c r="C5988" s="170"/>
      <c r="D5988" s="170"/>
      <c r="E5988" s="171"/>
      <c r="F5988" s="54" t="s">
        <v>560</v>
      </c>
      <c r="G5988" s="54" t="str">
        <f>IF(ISNUMBER(F5988),E5988*F5988,"")</f>
        <v/>
      </c>
      <c r="H5988" s="73"/>
      <c r="I5988" s="74"/>
      <c r="J5988" s="155">
        <v>45</v>
      </c>
    </row>
    <row r="5989" spans="1:10" x14ac:dyDescent="0.3">
      <c r="A5989" s="227"/>
      <c r="B5989" s="224"/>
      <c r="C5989" s="36" t="s">
        <v>745</v>
      </c>
      <c r="D5989" s="163" t="s">
        <v>744</v>
      </c>
      <c r="E5989" s="164">
        <v>0.32600000000000001</v>
      </c>
      <c r="F5989" s="31">
        <v>14.968499999999999</v>
      </c>
      <c r="G5989" s="54">
        <f>IF(ISNUMBER(F5989),E5989*F5989,"")</f>
        <v>4.8797309999999996</v>
      </c>
      <c r="H5989" s="39">
        <f>SUM(G5989:G5991)</f>
        <v>10.63945</v>
      </c>
      <c r="I5989" s="40"/>
      <c r="J5989" s="155">
        <v>45</v>
      </c>
    </row>
    <row r="5990" spans="1:10" ht="39.6" x14ac:dyDescent="0.3">
      <c r="A5990" s="227"/>
      <c r="B5990" s="224"/>
      <c r="C5990" s="36" t="s">
        <v>1661</v>
      </c>
      <c r="D5990" s="163" t="s">
        <v>983</v>
      </c>
      <c r="E5990" s="164">
        <v>0.18</v>
      </c>
      <c r="F5990" s="31">
        <v>18.147500000000001</v>
      </c>
      <c r="G5990" s="54">
        <f>IF(ISNUMBER(F5990),E5990*F5990,"")</f>
        <v>3.2665500000000001</v>
      </c>
      <c r="H5990" s="44"/>
      <c r="I5990" s="40"/>
      <c r="J5990" s="155">
        <v>45</v>
      </c>
    </row>
    <row r="5991" spans="1:10" ht="39.6" x14ac:dyDescent="0.3">
      <c r="A5991" s="227"/>
      <c r="B5991" s="224"/>
      <c r="C5991" s="36" t="s">
        <v>1666</v>
      </c>
      <c r="D5991" s="163" t="s">
        <v>985</v>
      </c>
      <c r="E5991" s="164">
        <v>0.14599999999999999</v>
      </c>
      <c r="F5991" s="31">
        <v>17.076499999999999</v>
      </c>
      <c r="G5991" s="54">
        <f>IF(ISNUMBER(F5991),E5991*F5991,"")</f>
        <v>2.493169</v>
      </c>
      <c r="H5991" s="44"/>
      <c r="I5991" s="40"/>
      <c r="J5991" s="155">
        <v>45</v>
      </c>
    </row>
    <row r="5992" spans="1:10" ht="15" thickBot="1" x14ac:dyDescent="0.35">
      <c r="A5992" s="228"/>
      <c r="B5992" s="225"/>
      <c r="C5992" s="36"/>
      <c r="D5992" s="163"/>
      <c r="E5992" s="164"/>
      <c r="F5992" s="31" t="s">
        <v>560</v>
      </c>
      <c r="G5992" s="54"/>
      <c r="H5992" s="44"/>
      <c r="I5992" s="40"/>
      <c r="J5992" s="155">
        <v>45</v>
      </c>
    </row>
    <row r="5993" spans="1:10" ht="15" thickBot="1" x14ac:dyDescent="0.35">
      <c r="A5993" s="226" t="s">
        <v>2339</v>
      </c>
      <c r="B5993" s="223" t="str">
        <f>INDEX(Orçamentária!A:B,MATCH(Composições!A5993,Orçamentária!A:A,0),2)</f>
        <v>Armação de aço CA-60 bitolas de 5,0mm a 8,00mm</v>
      </c>
      <c r="C5993" s="41"/>
      <c r="D5993" s="26" t="str">
        <f>TRIM(INDEX(Orçamentária!C:C,MATCH(Composições!A5993,Orçamentária!A:A,0),1))</f>
        <v>kg</v>
      </c>
      <c r="E5993" s="27"/>
      <c r="F5993" s="49" t="s">
        <v>560</v>
      </c>
      <c r="G5993" s="28" t="str">
        <f t="shared" ref="G5993:G5999" si="107">IF(ISNUMBER(F5993),E5993*F5993,"")</f>
        <v/>
      </c>
      <c r="H5993" s="29"/>
      <c r="I5993" s="30"/>
      <c r="J5993" s="155">
        <v>822.02</v>
      </c>
    </row>
    <row r="5994" spans="1:10" x14ac:dyDescent="0.3">
      <c r="A5994" s="227"/>
      <c r="B5994" s="224"/>
      <c r="C5994" s="170"/>
      <c r="D5994" s="170"/>
      <c r="E5994" s="171"/>
      <c r="F5994" s="54" t="s">
        <v>560</v>
      </c>
      <c r="G5994" s="54" t="str">
        <f t="shared" si="107"/>
        <v/>
      </c>
      <c r="H5994" s="73"/>
      <c r="I5994" s="74"/>
      <c r="J5994" s="155">
        <v>822.02</v>
      </c>
    </row>
    <row r="5995" spans="1:10" ht="26.4" x14ac:dyDescent="0.3">
      <c r="A5995" s="227"/>
      <c r="B5995" s="224"/>
      <c r="C5995" s="36" t="s">
        <v>940</v>
      </c>
      <c r="D5995" s="163" t="s">
        <v>292</v>
      </c>
      <c r="E5995" s="164">
        <v>1.333</v>
      </c>
      <c r="F5995" s="31">
        <v>0.17849999999999999</v>
      </c>
      <c r="G5995" s="54">
        <f t="shared" si="107"/>
        <v>0.23794049999999997</v>
      </c>
      <c r="H5995" s="39">
        <f>SUM(G5995:G5999)</f>
        <v>15.758365900000001</v>
      </c>
      <c r="I5995" s="40"/>
      <c r="J5995" s="155">
        <v>822.02</v>
      </c>
    </row>
    <row r="5996" spans="1:10" ht="26.4" x14ac:dyDescent="0.3">
      <c r="A5996" s="227"/>
      <c r="B5996" s="224"/>
      <c r="C5996" s="36" t="s">
        <v>1912</v>
      </c>
      <c r="D5996" s="163" t="s">
        <v>939</v>
      </c>
      <c r="E5996" s="164">
        <v>2.5000000000000001E-2</v>
      </c>
      <c r="F5996" s="31">
        <v>19.465</v>
      </c>
      <c r="G5996" s="54">
        <f t="shared" si="107"/>
        <v>0.48662500000000003</v>
      </c>
      <c r="H5996" s="44"/>
      <c r="I5996" s="40"/>
      <c r="J5996" s="155">
        <v>822.02</v>
      </c>
    </row>
    <row r="5997" spans="1:10" x14ac:dyDescent="0.3">
      <c r="A5997" s="227"/>
      <c r="B5997" s="224"/>
      <c r="C5997" s="36" t="s">
        <v>941</v>
      </c>
      <c r="D5997" s="163" t="s">
        <v>744</v>
      </c>
      <c r="E5997" s="164">
        <v>1.9099999999999999E-2</v>
      </c>
      <c r="F5997" s="31">
        <v>15.674000000000001</v>
      </c>
      <c r="G5997" s="54">
        <f t="shared" si="107"/>
        <v>0.29937340000000001</v>
      </c>
      <c r="H5997" s="44"/>
      <c r="I5997" s="40"/>
      <c r="J5997" s="155">
        <v>822.02</v>
      </c>
    </row>
    <row r="5998" spans="1:10" x14ac:dyDescent="0.3">
      <c r="A5998" s="227"/>
      <c r="B5998" s="224"/>
      <c r="C5998" s="36" t="s">
        <v>942</v>
      </c>
      <c r="D5998" s="163" t="s">
        <v>744</v>
      </c>
      <c r="E5998" s="164">
        <v>0.1168</v>
      </c>
      <c r="F5998" s="31">
        <v>20.213000000000001</v>
      </c>
      <c r="G5998" s="54">
        <f t="shared" si="107"/>
        <v>2.3608784000000003</v>
      </c>
      <c r="H5998" s="44"/>
      <c r="I5998" s="40"/>
      <c r="J5998" s="155">
        <v>822.02</v>
      </c>
    </row>
    <row r="5999" spans="1:10" ht="26.4" x14ac:dyDescent="0.3">
      <c r="A5999" s="227"/>
      <c r="B5999" s="224"/>
      <c r="C5999" s="36" t="s">
        <v>1672</v>
      </c>
      <c r="D5999" s="163" t="s">
        <v>939</v>
      </c>
      <c r="E5999" s="164">
        <v>1</v>
      </c>
      <c r="F5999" s="31">
        <v>12.373548600000001</v>
      </c>
      <c r="G5999" s="54">
        <f t="shared" si="107"/>
        <v>12.373548600000001</v>
      </c>
      <c r="H5999" s="44"/>
      <c r="I5999" s="40"/>
      <c r="J5999" s="155">
        <v>822.02</v>
      </c>
    </row>
    <row r="6000" spans="1:10" ht="15" thickBot="1" x14ac:dyDescent="0.35">
      <c r="A6000" s="228"/>
      <c r="B6000" s="225"/>
      <c r="C6000" s="36"/>
      <c r="D6000" s="163"/>
      <c r="E6000" s="164"/>
      <c r="F6000" s="31" t="s">
        <v>560</v>
      </c>
      <c r="G6000" s="54"/>
      <c r="H6000" s="44"/>
      <c r="I6000" s="40"/>
      <c r="J6000" s="155">
        <v>822.02</v>
      </c>
    </row>
    <row r="6001" spans="1:10" ht="15" thickBot="1" x14ac:dyDescent="0.35">
      <c r="A6001" s="226" t="s">
        <v>2340</v>
      </c>
      <c r="B6001" s="223" t="str">
        <f>INDEX(Orçamentária!A:B,MATCH(Composições!A6001,Orçamentária!A:A,0),2)</f>
        <v>Pavimentação em concreto simples</v>
      </c>
      <c r="C6001" s="41"/>
      <c r="D6001" s="26" t="str">
        <f>TRIM(INDEX(Orçamentária!C:C,MATCH(Composições!A6001,Orçamentária!A:A,0),1))</f>
        <v>m2</v>
      </c>
      <c r="E6001" s="27"/>
      <c r="F6001" s="49" t="s">
        <v>560</v>
      </c>
      <c r="G6001" s="28" t="str">
        <f t="shared" ref="G6001:G6007" si="108">IF(ISNUMBER(F6001),E6001*F6001,"")</f>
        <v/>
      </c>
      <c r="H6001" s="29"/>
      <c r="I6001" s="30"/>
      <c r="J6001" s="155">
        <v>775</v>
      </c>
    </row>
    <row r="6002" spans="1:10" x14ac:dyDescent="0.3">
      <c r="A6002" s="227"/>
      <c r="B6002" s="224"/>
      <c r="C6002" s="170"/>
      <c r="D6002" s="170"/>
      <c r="E6002" s="171"/>
      <c r="F6002" s="54" t="s">
        <v>560</v>
      </c>
      <c r="G6002" s="54" t="str">
        <f t="shared" si="108"/>
        <v/>
      </c>
      <c r="H6002" s="73"/>
      <c r="I6002" s="74"/>
      <c r="J6002" s="155">
        <v>775</v>
      </c>
    </row>
    <row r="6003" spans="1:10" ht="39.6" x14ac:dyDescent="0.3">
      <c r="A6003" s="227"/>
      <c r="B6003" s="224"/>
      <c r="C6003" s="36" t="s">
        <v>1728</v>
      </c>
      <c r="D6003" s="163" t="s">
        <v>122</v>
      </c>
      <c r="E6003" s="164">
        <v>8.14E-2</v>
      </c>
      <c r="F6003" s="31">
        <v>258.82499999999999</v>
      </c>
      <c r="G6003" s="54">
        <f t="shared" si="108"/>
        <v>21.068355</v>
      </c>
      <c r="H6003" s="39">
        <f>SUM(G6003:G6007)</f>
        <v>52.1821001</v>
      </c>
      <c r="I6003" s="40"/>
      <c r="J6003" s="155">
        <v>775</v>
      </c>
    </row>
    <row r="6004" spans="1:10" ht="26.4" x14ac:dyDescent="0.3">
      <c r="A6004" s="227"/>
      <c r="B6004" s="224"/>
      <c r="C6004" s="36" t="s">
        <v>1785</v>
      </c>
      <c r="D6004" s="163" t="s">
        <v>939</v>
      </c>
      <c r="E6004" s="164">
        <v>4</v>
      </c>
      <c r="F6004" s="31">
        <v>7.0209999999999999</v>
      </c>
      <c r="G6004" s="54">
        <f t="shared" si="108"/>
        <v>28.084</v>
      </c>
      <c r="H6004" s="44"/>
      <c r="I6004" s="40"/>
      <c r="J6004" s="155">
        <v>775</v>
      </c>
    </row>
    <row r="6005" spans="1:10" x14ac:dyDescent="0.3">
      <c r="A6005" s="227"/>
      <c r="B6005" s="224"/>
      <c r="C6005" s="36" t="s">
        <v>752</v>
      </c>
      <c r="D6005" s="163" t="s">
        <v>744</v>
      </c>
      <c r="E6005" s="164">
        <v>0.1119</v>
      </c>
      <c r="F6005" s="31">
        <v>20.314999999999998</v>
      </c>
      <c r="G6005" s="54">
        <f t="shared" si="108"/>
        <v>2.2732484999999998</v>
      </c>
      <c r="H6005" s="44"/>
      <c r="I6005" s="40"/>
      <c r="J6005" s="155">
        <v>775</v>
      </c>
    </row>
    <row r="6006" spans="1:10" x14ac:dyDescent="0.3">
      <c r="A6006" s="227"/>
      <c r="B6006" s="224"/>
      <c r="C6006" s="36" t="s">
        <v>745</v>
      </c>
      <c r="D6006" s="163" t="s">
        <v>744</v>
      </c>
      <c r="E6006" s="164">
        <v>4.6600000000000003E-2</v>
      </c>
      <c r="F6006" s="31">
        <v>14.968499999999999</v>
      </c>
      <c r="G6006" s="54">
        <f t="shared" si="108"/>
        <v>0.69753209999999999</v>
      </c>
      <c r="H6006" s="44"/>
      <c r="I6006" s="40"/>
      <c r="J6006" s="155">
        <v>775</v>
      </c>
    </row>
    <row r="6007" spans="1:10" ht="26.4" x14ac:dyDescent="0.3">
      <c r="A6007" s="227"/>
      <c r="B6007" s="224"/>
      <c r="C6007" s="36" t="s">
        <v>1660</v>
      </c>
      <c r="D6007" s="163" t="s">
        <v>983</v>
      </c>
      <c r="E6007" s="164">
        <v>7.0000000000000001E-3</v>
      </c>
      <c r="F6007" s="31">
        <v>8.4235000000000007</v>
      </c>
      <c r="G6007" s="54">
        <f t="shared" si="108"/>
        <v>5.8964500000000003E-2</v>
      </c>
      <c r="H6007" s="44"/>
      <c r="I6007" s="40"/>
      <c r="J6007" s="155">
        <v>775</v>
      </c>
    </row>
    <row r="6008" spans="1:10" ht="15" thickBot="1" x14ac:dyDescent="0.35">
      <c r="A6008" s="228"/>
      <c r="B6008" s="225"/>
      <c r="C6008" s="36"/>
      <c r="D6008" s="163"/>
      <c r="E6008" s="164"/>
      <c r="F6008" s="31" t="s">
        <v>560</v>
      </c>
      <c r="G6008" s="54"/>
      <c r="H6008" s="44"/>
      <c r="I6008" s="40"/>
      <c r="J6008" s="155">
        <v>775</v>
      </c>
    </row>
    <row r="6009" spans="1:10" ht="15" thickBot="1" x14ac:dyDescent="0.35">
      <c r="A6009" s="226" t="s">
        <v>2341</v>
      </c>
      <c r="B6009" s="223" t="str">
        <f>INDEX(Orçamentária!A:B,MATCH(Composições!A6009,Orçamentária!A:A,0),2)</f>
        <v>Tubo PVC esgoto ou águas pluviais predial DN 150mm</v>
      </c>
      <c r="C6009" s="41"/>
      <c r="D6009" s="26" t="str">
        <f>TRIM(INDEX(Orçamentária!C:C,MATCH(Composições!A6009,Orçamentária!A:A,0),1))</f>
        <v>m</v>
      </c>
      <c r="E6009" s="27"/>
      <c r="F6009" s="49" t="s">
        <v>560</v>
      </c>
      <c r="G6009" s="28" t="str">
        <f t="shared" ref="G6009:G6016" si="109">IF(ISNUMBER(F6009),E6009*F6009,"")</f>
        <v/>
      </c>
      <c r="H6009" s="29"/>
      <c r="I6009" s="30"/>
      <c r="J6009" s="155">
        <v>76</v>
      </c>
    </row>
    <row r="6010" spans="1:10" x14ac:dyDescent="0.3">
      <c r="A6010" s="227"/>
      <c r="B6010" s="224"/>
      <c r="C6010" s="170"/>
      <c r="D6010" s="170"/>
      <c r="E6010" s="171"/>
      <c r="F6010" s="54" t="s">
        <v>560</v>
      </c>
      <c r="G6010" s="54" t="str">
        <f t="shared" si="109"/>
        <v/>
      </c>
      <c r="H6010" s="73"/>
      <c r="I6010" s="74"/>
      <c r="J6010" s="155">
        <v>76</v>
      </c>
    </row>
    <row r="6011" spans="1:10" x14ac:dyDescent="0.3">
      <c r="A6011" s="227"/>
      <c r="B6011" s="224"/>
      <c r="C6011" s="36" t="s">
        <v>1405</v>
      </c>
      <c r="D6011" s="163" t="s">
        <v>292</v>
      </c>
      <c r="E6011" s="164">
        <v>6.1999999999999998E-3</v>
      </c>
      <c r="F6011" s="31">
        <v>67.566499999999991</v>
      </c>
      <c r="G6011" s="54">
        <f t="shared" si="109"/>
        <v>0.4189122999999999</v>
      </c>
      <c r="H6011" s="39">
        <f>SUM(G6011:G6016)</f>
        <v>68.736392399999986</v>
      </c>
      <c r="I6011" s="40"/>
      <c r="J6011" s="155">
        <v>76</v>
      </c>
    </row>
    <row r="6012" spans="1:10" ht="26.4" x14ac:dyDescent="0.3">
      <c r="A6012" s="227"/>
      <c r="B6012" s="224"/>
      <c r="C6012" s="36" t="s">
        <v>2067</v>
      </c>
      <c r="D6012" s="163" t="s">
        <v>515</v>
      </c>
      <c r="E6012" s="164">
        <v>1.04</v>
      </c>
      <c r="F6012" s="31">
        <v>58.92199999999999</v>
      </c>
      <c r="G6012" s="54">
        <f t="shared" si="109"/>
        <v>61.278879999999994</v>
      </c>
      <c r="H6012" s="44"/>
      <c r="I6012" s="40"/>
      <c r="J6012" s="155">
        <v>76</v>
      </c>
    </row>
    <row r="6013" spans="1:10" x14ac:dyDescent="0.3">
      <c r="A6013" s="227"/>
      <c r="B6013" s="224"/>
      <c r="C6013" s="36" t="s">
        <v>1406</v>
      </c>
      <c r="D6013" s="163" t="s">
        <v>292</v>
      </c>
      <c r="E6013" s="164">
        <v>1.0200000000000001E-2</v>
      </c>
      <c r="F6013" s="31">
        <v>58.6755</v>
      </c>
      <c r="G6013" s="54">
        <f t="shared" si="109"/>
        <v>0.59849010000000002</v>
      </c>
      <c r="H6013" s="44"/>
      <c r="I6013" s="40"/>
      <c r="J6013" s="155">
        <v>76</v>
      </c>
    </row>
    <row r="6014" spans="1:10" x14ac:dyDescent="0.3">
      <c r="A6014" s="227"/>
      <c r="B6014" s="224"/>
      <c r="C6014" s="36" t="s">
        <v>1249</v>
      </c>
      <c r="D6014" s="163" t="s">
        <v>292</v>
      </c>
      <c r="E6014" s="164">
        <v>3.6999999999999998E-2</v>
      </c>
      <c r="F6014" s="31">
        <v>1.87</v>
      </c>
      <c r="G6014" s="54">
        <f t="shared" si="109"/>
        <v>6.9190000000000002E-2</v>
      </c>
      <c r="H6014" s="44"/>
      <c r="I6014" s="40"/>
      <c r="J6014" s="155">
        <v>76</v>
      </c>
    </row>
    <row r="6015" spans="1:10" ht="26.4" x14ac:dyDescent="0.3">
      <c r="A6015" s="227"/>
      <c r="B6015" s="224"/>
      <c r="C6015" s="36" t="s">
        <v>994</v>
      </c>
      <c r="D6015" s="163" t="s">
        <v>744</v>
      </c>
      <c r="E6015" s="164">
        <v>0.18</v>
      </c>
      <c r="F6015" s="31">
        <v>15.4955</v>
      </c>
      <c r="G6015" s="54">
        <f t="shared" si="109"/>
        <v>2.7891900000000001</v>
      </c>
      <c r="H6015" s="44"/>
      <c r="I6015" s="40"/>
      <c r="J6015" s="155">
        <v>76</v>
      </c>
    </row>
    <row r="6016" spans="1:10" ht="26.4" x14ac:dyDescent="0.3">
      <c r="A6016" s="227"/>
      <c r="B6016" s="224"/>
      <c r="C6016" s="36" t="s">
        <v>995</v>
      </c>
      <c r="D6016" s="163" t="s">
        <v>744</v>
      </c>
      <c r="E6016" s="164">
        <v>0.18</v>
      </c>
      <c r="F6016" s="31">
        <v>19.898499999999999</v>
      </c>
      <c r="G6016" s="54">
        <f t="shared" si="109"/>
        <v>3.5817299999999994</v>
      </c>
      <c r="H6016" s="44"/>
      <c r="I6016" s="40"/>
      <c r="J6016" s="155">
        <v>76</v>
      </c>
    </row>
    <row r="6017" spans="1:10" ht="15" thickBot="1" x14ac:dyDescent="0.35">
      <c r="A6017" s="228"/>
      <c r="B6017" s="225"/>
      <c r="C6017" s="36"/>
      <c r="D6017" s="163"/>
      <c r="E6017" s="164"/>
      <c r="F6017" s="31" t="s">
        <v>560</v>
      </c>
      <c r="G6017" s="54"/>
      <c r="H6017" s="44"/>
      <c r="I6017" s="40"/>
      <c r="J6017" s="155">
        <v>76</v>
      </c>
    </row>
    <row r="6018" spans="1:10" ht="15" thickBot="1" x14ac:dyDescent="0.35">
      <c r="A6018" s="226" t="s">
        <v>2342</v>
      </c>
      <c r="B6018" s="233" t="str">
        <f>INDEX(Orçamentária!A:B,MATCH(Composições!A6018,Orçamentária!A:A,0),2)</f>
        <v>Alvenaria Estrutural</v>
      </c>
      <c r="C6018" s="41"/>
      <c r="D6018" s="26" t="str">
        <f>TRIM(INDEX(Orçamentária!C:C,MATCH(Composições!A6018,Orçamentária!A:A,0),1))</f>
        <v>m2</v>
      </c>
      <c r="E6018" s="27"/>
      <c r="F6018" s="49" t="s">
        <v>560</v>
      </c>
      <c r="G6018" s="28" t="str">
        <f t="shared" ref="G6018:G6027" si="110">IF(ISNUMBER(F6018),E6018*F6018,"")</f>
        <v/>
      </c>
      <c r="H6018" s="29"/>
      <c r="I6018" s="30"/>
      <c r="J6018" s="155">
        <v>34</v>
      </c>
    </row>
    <row r="6019" spans="1:10" x14ac:dyDescent="0.3">
      <c r="A6019" s="227"/>
      <c r="B6019" s="234"/>
      <c r="C6019" s="170"/>
      <c r="D6019" s="170"/>
      <c r="E6019" s="171"/>
      <c r="F6019" s="54" t="s">
        <v>560</v>
      </c>
      <c r="G6019" s="54" t="str">
        <f t="shared" si="110"/>
        <v/>
      </c>
      <c r="H6019" s="73"/>
      <c r="I6019" s="74"/>
      <c r="J6019" s="155">
        <v>34</v>
      </c>
    </row>
    <row r="6020" spans="1:10" ht="26.4" x14ac:dyDescent="0.3">
      <c r="A6020" s="227"/>
      <c r="B6020" s="234"/>
      <c r="C6020" s="36" t="s">
        <v>1916</v>
      </c>
      <c r="D6020" s="163" t="s">
        <v>292</v>
      </c>
      <c r="E6020" s="164">
        <v>10.220000000000001</v>
      </c>
      <c r="F6020" s="31">
        <v>2.9579999999999997</v>
      </c>
      <c r="G6020" s="54">
        <f t="shared" si="110"/>
        <v>30.23076</v>
      </c>
      <c r="H6020" s="39">
        <f>SUM(G6020:G6027)</f>
        <v>65.006656983360386</v>
      </c>
      <c r="I6020" s="40"/>
      <c r="J6020" s="155">
        <v>34</v>
      </c>
    </row>
    <row r="6021" spans="1:10" ht="26.4" x14ac:dyDescent="0.3">
      <c r="A6021" s="227"/>
      <c r="B6021" s="234"/>
      <c r="C6021" s="36" t="s">
        <v>1840</v>
      </c>
      <c r="D6021" s="163" t="s">
        <v>515</v>
      </c>
      <c r="E6021" s="164">
        <v>0.87</v>
      </c>
      <c r="F6021" s="31">
        <v>6.0860000000000003</v>
      </c>
      <c r="G6021" s="54">
        <f t="shared" si="110"/>
        <v>5.2948200000000005</v>
      </c>
      <c r="H6021" s="44"/>
      <c r="I6021" s="40"/>
      <c r="J6021" s="155">
        <v>34</v>
      </c>
    </row>
    <row r="6022" spans="1:10" ht="26.4" x14ac:dyDescent="0.3">
      <c r="A6022" s="227"/>
      <c r="B6022" s="234"/>
      <c r="C6022" s="36" t="s">
        <v>1922</v>
      </c>
      <c r="D6022" s="163" t="s">
        <v>292</v>
      </c>
      <c r="E6022" s="164">
        <v>1.46</v>
      </c>
      <c r="F6022" s="31">
        <v>1.6915</v>
      </c>
      <c r="G6022" s="54">
        <f t="shared" si="110"/>
        <v>2.4695899999999997</v>
      </c>
      <c r="H6022" s="44"/>
      <c r="I6022" s="40"/>
      <c r="J6022" s="155">
        <v>34</v>
      </c>
    </row>
    <row r="6023" spans="1:10" ht="26.4" x14ac:dyDescent="0.3">
      <c r="A6023" s="227"/>
      <c r="B6023" s="234"/>
      <c r="C6023" s="36" t="s">
        <v>1915</v>
      </c>
      <c r="D6023" s="163" t="s">
        <v>292</v>
      </c>
      <c r="E6023" s="164">
        <v>1.46</v>
      </c>
      <c r="F6023" s="31">
        <v>2.7029999999999998</v>
      </c>
      <c r="G6023" s="54">
        <f t="shared" si="110"/>
        <v>3.9463799999999996</v>
      </c>
      <c r="H6023" s="44"/>
      <c r="I6023" s="40"/>
      <c r="J6023" s="155">
        <v>34</v>
      </c>
    </row>
    <row r="6024" spans="1:10" ht="26.4" x14ac:dyDescent="0.3">
      <c r="A6024" s="227"/>
      <c r="B6024" s="234"/>
      <c r="C6024" s="36" t="s">
        <v>1920</v>
      </c>
      <c r="D6024" s="163" t="s">
        <v>292</v>
      </c>
      <c r="E6024" s="164">
        <v>0.97</v>
      </c>
      <c r="F6024" s="31">
        <v>3.3319999999999999</v>
      </c>
      <c r="G6024" s="54">
        <f t="shared" si="110"/>
        <v>3.2320399999999996</v>
      </c>
      <c r="H6024" s="44"/>
      <c r="I6024" s="40"/>
      <c r="J6024" s="155">
        <v>34</v>
      </c>
    </row>
    <row r="6025" spans="1:10" x14ac:dyDescent="0.3">
      <c r="A6025" s="227"/>
      <c r="B6025" s="234"/>
      <c r="C6025" s="36" t="s">
        <v>752</v>
      </c>
      <c r="D6025" s="163" t="s">
        <v>744</v>
      </c>
      <c r="E6025" s="164">
        <v>0.49</v>
      </c>
      <c r="F6025" s="31">
        <v>20.314999999999998</v>
      </c>
      <c r="G6025" s="54">
        <f t="shared" si="110"/>
        <v>9.954349999999998</v>
      </c>
      <c r="H6025" s="44"/>
      <c r="I6025" s="40"/>
      <c r="J6025" s="155">
        <v>34</v>
      </c>
    </row>
    <row r="6026" spans="1:10" x14ac:dyDescent="0.3">
      <c r="A6026" s="227"/>
      <c r="B6026" s="234"/>
      <c r="C6026" s="36" t="s">
        <v>745</v>
      </c>
      <c r="D6026" s="163" t="s">
        <v>744</v>
      </c>
      <c r="E6026" s="164">
        <v>0.37</v>
      </c>
      <c r="F6026" s="31">
        <v>14.968499999999999</v>
      </c>
      <c r="G6026" s="54">
        <f t="shared" si="110"/>
        <v>5.5383449999999996</v>
      </c>
      <c r="H6026" s="44"/>
      <c r="I6026" s="40"/>
      <c r="J6026" s="155">
        <v>34</v>
      </c>
    </row>
    <row r="6027" spans="1:10" ht="52.8" x14ac:dyDescent="0.3">
      <c r="A6027" s="227"/>
      <c r="B6027" s="234"/>
      <c r="C6027" s="36" t="s">
        <v>1691</v>
      </c>
      <c r="D6027" s="163" t="s">
        <v>122</v>
      </c>
      <c r="E6027" s="164">
        <v>1.04E-2</v>
      </c>
      <c r="F6027" s="31">
        <v>417.34345993850002</v>
      </c>
      <c r="G6027" s="54">
        <f t="shared" si="110"/>
        <v>4.3403719833604004</v>
      </c>
      <c r="H6027" s="44"/>
      <c r="I6027" s="40"/>
      <c r="J6027" s="155">
        <v>34</v>
      </c>
    </row>
    <row r="6028" spans="1:10" ht="15" thickBot="1" x14ac:dyDescent="0.35">
      <c r="A6028" s="228"/>
      <c r="B6028" s="235"/>
      <c r="C6028" s="36"/>
      <c r="D6028" s="163"/>
      <c r="E6028" s="164"/>
      <c r="F6028" s="31" t="s">
        <v>560</v>
      </c>
      <c r="G6028" s="54"/>
      <c r="H6028" s="44"/>
      <c r="I6028" s="40"/>
      <c r="J6028" s="155">
        <v>34</v>
      </c>
    </row>
    <row r="6029" spans="1:10" ht="15" thickBot="1" x14ac:dyDescent="0.35">
      <c r="A6029" s="226" t="s">
        <v>2343</v>
      </c>
      <c r="B6029" s="223" t="str">
        <f>INDEX(Orçamentária!A:B,MATCH(Composições!A6029,Orçamentária!A:A,0),2)</f>
        <v>Boca de lobo simples em blocos de concreto, h=1,0 m</v>
      </c>
      <c r="C6029" s="41"/>
      <c r="D6029" s="26" t="str">
        <f>TRIM(INDEX(Orçamentária!C:C,MATCH(Composições!A6029,Orçamentária!A:A,0),1))</f>
        <v>un</v>
      </c>
      <c r="E6029" s="27"/>
      <c r="F6029" s="49" t="s">
        <v>560</v>
      </c>
      <c r="G6029" s="28" t="str">
        <f t="shared" ref="G6029:G6051" si="111">IF(ISNUMBER(F6029),E6029*F6029,"")</f>
        <v/>
      </c>
      <c r="H6029" s="29"/>
      <c r="I6029" s="30"/>
      <c r="J6029" s="155">
        <v>2</v>
      </c>
    </row>
    <row r="6030" spans="1:10" x14ac:dyDescent="0.3">
      <c r="A6030" s="227"/>
      <c r="B6030" s="224"/>
      <c r="C6030" s="170"/>
      <c r="D6030" s="170"/>
      <c r="E6030" s="171"/>
      <c r="F6030" s="54" t="s">
        <v>560</v>
      </c>
      <c r="G6030" s="54" t="str">
        <f t="shared" si="111"/>
        <v/>
      </c>
      <c r="H6030" s="73"/>
      <c r="I6030" s="74"/>
      <c r="J6030" s="155">
        <v>2</v>
      </c>
    </row>
    <row r="6031" spans="1:10" x14ac:dyDescent="0.3">
      <c r="A6031" s="227"/>
      <c r="B6031" s="224"/>
      <c r="C6031" s="36" t="s">
        <v>1921</v>
      </c>
      <c r="D6031" s="163" t="s">
        <v>292</v>
      </c>
      <c r="E6031" s="164">
        <v>21</v>
      </c>
      <c r="F6031" s="31">
        <v>2.2949999999999999</v>
      </c>
      <c r="G6031" s="54">
        <f t="shared" si="111"/>
        <v>48.195</v>
      </c>
      <c r="H6031" s="39">
        <f>SUM(G6031:G6051)</f>
        <v>1078.1090706852106</v>
      </c>
      <c r="I6031" s="40"/>
      <c r="J6031" s="155">
        <v>2</v>
      </c>
    </row>
    <row r="6032" spans="1:10" ht="26.4" x14ac:dyDescent="0.3">
      <c r="A6032" s="227"/>
      <c r="B6032" s="224"/>
      <c r="C6032" s="36" t="s">
        <v>1204</v>
      </c>
      <c r="D6032" s="163" t="s">
        <v>103</v>
      </c>
      <c r="E6032" s="164">
        <v>8.2000000000000007E-3</v>
      </c>
      <c r="F6032" s="31">
        <v>5.4824999999999999</v>
      </c>
      <c r="G6032" s="54">
        <f t="shared" si="111"/>
        <v>4.4956500000000003E-2</v>
      </c>
      <c r="H6032" s="44"/>
      <c r="I6032" s="40"/>
      <c r="J6032" s="155">
        <v>2</v>
      </c>
    </row>
    <row r="6033" spans="1:10" ht="26.4" x14ac:dyDescent="0.3">
      <c r="A6033" s="227"/>
      <c r="B6033" s="224"/>
      <c r="C6033" s="36" t="s">
        <v>2034</v>
      </c>
      <c r="D6033" s="163" t="s">
        <v>515</v>
      </c>
      <c r="E6033" s="164">
        <v>0.17760000000000001</v>
      </c>
      <c r="F6033" s="31">
        <v>6.1624999999999996</v>
      </c>
      <c r="G6033" s="54">
        <f t="shared" si="111"/>
        <v>1.09446</v>
      </c>
      <c r="H6033" s="44"/>
      <c r="I6033" s="40"/>
      <c r="J6033" s="155">
        <v>2</v>
      </c>
    </row>
    <row r="6034" spans="1:10" ht="26.4" x14ac:dyDescent="0.3">
      <c r="A6034" s="227"/>
      <c r="B6034" s="224"/>
      <c r="C6034" s="36" t="s">
        <v>2036</v>
      </c>
      <c r="D6034" s="163" t="s">
        <v>515</v>
      </c>
      <c r="E6034" s="164">
        <v>0.2112</v>
      </c>
      <c r="F6034" s="31">
        <v>2.1589999999999998</v>
      </c>
      <c r="G6034" s="54">
        <f t="shared" si="111"/>
        <v>0.45598079999999996</v>
      </c>
      <c r="H6034" s="44"/>
      <c r="I6034" s="40"/>
      <c r="J6034" s="155">
        <v>2</v>
      </c>
    </row>
    <row r="6035" spans="1:10" x14ac:dyDescent="0.3">
      <c r="A6035" s="227"/>
      <c r="B6035" s="224"/>
      <c r="C6035" s="36" t="s">
        <v>1822</v>
      </c>
      <c r="D6035" s="163" t="s">
        <v>939</v>
      </c>
      <c r="E6035" s="164">
        <v>0.187</v>
      </c>
      <c r="F6035" s="31">
        <v>17.535499999999999</v>
      </c>
      <c r="G6035" s="54">
        <f t="shared" si="111"/>
        <v>3.2791384999999997</v>
      </c>
      <c r="H6035" s="44"/>
      <c r="I6035" s="40"/>
      <c r="J6035" s="155">
        <v>2</v>
      </c>
    </row>
    <row r="6036" spans="1:10" ht="52.8" x14ac:dyDescent="0.3">
      <c r="A6036" s="227"/>
      <c r="B6036" s="224"/>
      <c r="C6036" s="36" t="s">
        <v>1655</v>
      </c>
      <c r="D6036" s="163" t="s">
        <v>983</v>
      </c>
      <c r="E6036" s="164">
        <v>3.1300000000000001E-2</v>
      </c>
      <c r="F6036" s="31">
        <v>90.414500000000004</v>
      </c>
      <c r="G6036" s="54">
        <f t="shared" si="111"/>
        <v>2.8299738500000005</v>
      </c>
      <c r="H6036" s="44"/>
      <c r="I6036" s="40"/>
      <c r="J6036" s="155">
        <v>2</v>
      </c>
    </row>
    <row r="6037" spans="1:10" ht="52.8" x14ac:dyDescent="0.3">
      <c r="A6037" s="227"/>
      <c r="B6037" s="224"/>
      <c r="C6037" s="36" t="s">
        <v>1663</v>
      </c>
      <c r="D6037" s="163" t="s">
        <v>985</v>
      </c>
      <c r="E6037" s="164">
        <v>6.3700000000000007E-2</v>
      </c>
      <c r="F6037" s="31">
        <v>36.158999999999999</v>
      </c>
      <c r="G6037" s="54">
        <f t="shared" si="111"/>
        <v>2.3033283</v>
      </c>
      <c r="H6037" s="44"/>
      <c r="I6037" s="40"/>
      <c r="J6037" s="155">
        <v>2</v>
      </c>
    </row>
    <row r="6038" spans="1:10" ht="26.4" x14ac:dyDescent="0.3">
      <c r="A6038" s="227"/>
      <c r="B6038" s="224"/>
      <c r="C6038" s="36" t="s">
        <v>2064</v>
      </c>
      <c r="D6038" s="163" t="s">
        <v>515</v>
      </c>
      <c r="E6038" s="164">
        <v>0.66239999999999999</v>
      </c>
      <c r="F6038" s="31">
        <v>14.951499999999999</v>
      </c>
      <c r="G6038" s="54">
        <f t="shared" si="111"/>
        <v>9.9038735999999989</v>
      </c>
      <c r="H6038" s="44"/>
      <c r="I6038" s="40"/>
      <c r="J6038" s="155">
        <v>2</v>
      </c>
    </row>
    <row r="6039" spans="1:10" ht="26.4" x14ac:dyDescent="0.3">
      <c r="A6039" s="227"/>
      <c r="B6039" s="224"/>
      <c r="C6039" s="36" t="s">
        <v>1917</v>
      </c>
      <c r="D6039" s="163" t="s">
        <v>292</v>
      </c>
      <c r="E6039" s="164">
        <v>47.175699999999999</v>
      </c>
      <c r="F6039" s="31">
        <v>3.6974999999999998</v>
      </c>
      <c r="G6039" s="54">
        <f t="shared" si="111"/>
        <v>174.43215074999998</v>
      </c>
      <c r="H6039" s="44"/>
      <c r="I6039" s="40"/>
      <c r="J6039" s="155">
        <v>2</v>
      </c>
    </row>
    <row r="6040" spans="1:10" ht="26.4" x14ac:dyDescent="0.3">
      <c r="A6040" s="227"/>
      <c r="B6040" s="224"/>
      <c r="C6040" s="36" t="s">
        <v>2030</v>
      </c>
      <c r="D6040" s="163" t="s">
        <v>292</v>
      </c>
      <c r="E6040" s="164">
        <v>1</v>
      </c>
      <c r="F6040" s="31">
        <v>39.201999999999998</v>
      </c>
      <c r="G6040" s="54">
        <f t="shared" si="111"/>
        <v>39.201999999999998</v>
      </c>
      <c r="H6040" s="44"/>
      <c r="I6040" s="40"/>
      <c r="J6040" s="155">
        <v>2</v>
      </c>
    </row>
    <row r="6041" spans="1:10" ht="39.6" x14ac:dyDescent="0.3">
      <c r="A6041" s="227"/>
      <c r="B6041" s="224"/>
      <c r="C6041" s="36" t="s">
        <v>1045</v>
      </c>
      <c r="D6041" s="163" t="s">
        <v>122</v>
      </c>
      <c r="E6041" s="164">
        <v>4.3E-3</v>
      </c>
      <c r="F6041" s="31">
        <v>396.96666423299996</v>
      </c>
      <c r="G6041" s="54">
        <f t="shared" si="111"/>
        <v>1.7069566562018998</v>
      </c>
      <c r="H6041" s="44"/>
      <c r="I6041" s="40"/>
      <c r="J6041" s="155">
        <v>2</v>
      </c>
    </row>
    <row r="6042" spans="1:10" x14ac:dyDescent="0.3">
      <c r="A6042" s="227"/>
      <c r="B6042" s="224"/>
      <c r="C6042" s="36" t="s">
        <v>752</v>
      </c>
      <c r="D6042" s="163" t="s">
        <v>744</v>
      </c>
      <c r="E6042" s="164">
        <v>9.5631000000000004</v>
      </c>
      <c r="F6042" s="31">
        <v>20.314999999999998</v>
      </c>
      <c r="G6042" s="54">
        <f t="shared" si="111"/>
        <v>194.27437649999999</v>
      </c>
      <c r="H6042" s="44"/>
      <c r="I6042" s="40"/>
      <c r="J6042" s="155">
        <v>2</v>
      </c>
    </row>
    <row r="6043" spans="1:10" x14ac:dyDescent="0.3">
      <c r="A6043" s="227"/>
      <c r="B6043" s="224"/>
      <c r="C6043" s="36" t="s">
        <v>745</v>
      </c>
      <c r="D6043" s="163" t="s">
        <v>744</v>
      </c>
      <c r="E6043" s="164">
        <v>7.5138999999999996</v>
      </c>
      <c r="F6043" s="31">
        <v>14.968499999999999</v>
      </c>
      <c r="G6043" s="54">
        <f t="shared" si="111"/>
        <v>112.47181214999999</v>
      </c>
      <c r="H6043" s="44"/>
      <c r="I6043" s="40"/>
      <c r="J6043" s="155">
        <v>2</v>
      </c>
    </row>
    <row r="6044" spans="1:10" ht="26.4" x14ac:dyDescent="0.3">
      <c r="A6044" s="227"/>
      <c r="B6044" s="224"/>
      <c r="C6044" s="36" t="s">
        <v>1690</v>
      </c>
      <c r="D6044" s="163" t="s">
        <v>122</v>
      </c>
      <c r="E6044" s="164">
        <v>0.47460000000000002</v>
      </c>
      <c r="F6044" s="31">
        <v>405.61079444050006</v>
      </c>
      <c r="G6044" s="54">
        <f t="shared" si="111"/>
        <v>192.50288304146133</v>
      </c>
      <c r="H6044" s="44"/>
      <c r="I6044" s="40"/>
      <c r="J6044" s="155">
        <v>2</v>
      </c>
    </row>
    <row r="6045" spans="1:10" x14ac:dyDescent="0.3">
      <c r="A6045" s="227"/>
      <c r="B6045" s="224"/>
      <c r="C6045" s="36" t="s">
        <v>1674</v>
      </c>
      <c r="D6045" s="163" t="s">
        <v>122</v>
      </c>
      <c r="E6045" s="164">
        <v>2.9899999999999999E-2</v>
      </c>
      <c r="F6045" s="31">
        <v>739.76870460154396</v>
      </c>
      <c r="G6045" s="54">
        <f t="shared" si="111"/>
        <v>22.119084267586164</v>
      </c>
      <c r="H6045" s="44"/>
      <c r="I6045" s="40"/>
      <c r="J6045" s="155">
        <v>2</v>
      </c>
    </row>
    <row r="6046" spans="1:10" ht="26.4" x14ac:dyDescent="0.3">
      <c r="A6046" s="227"/>
      <c r="B6046" s="224"/>
      <c r="C6046" s="36" t="s">
        <v>1675</v>
      </c>
      <c r="D6046" s="163" t="s">
        <v>122</v>
      </c>
      <c r="E6046" s="164">
        <v>6.1499999999999999E-2</v>
      </c>
      <c r="F6046" s="31">
        <v>713.14403135154396</v>
      </c>
      <c r="G6046" s="54">
        <f t="shared" si="111"/>
        <v>43.85835792811995</v>
      </c>
      <c r="H6046" s="44"/>
      <c r="I6046" s="40"/>
      <c r="J6046" s="155">
        <v>2</v>
      </c>
    </row>
    <row r="6047" spans="1:10" ht="26.4" x14ac:dyDescent="0.3">
      <c r="A6047" s="227"/>
      <c r="B6047" s="224"/>
      <c r="C6047" s="36" t="s">
        <v>1669</v>
      </c>
      <c r="D6047" s="163" t="s">
        <v>939</v>
      </c>
      <c r="E6047" s="164">
        <v>0.98719999999999997</v>
      </c>
      <c r="F6047" s="31">
        <v>12.28135505</v>
      </c>
      <c r="G6047" s="54">
        <f t="shared" si="111"/>
        <v>12.124153705359999</v>
      </c>
      <c r="H6047" s="44"/>
      <c r="I6047" s="40"/>
      <c r="J6047" s="155">
        <v>2</v>
      </c>
    </row>
    <row r="6048" spans="1:10" ht="26.4" x14ac:dyDescent="0.3">
      <c r="A6048" s="227"/>
      <c r="B6048" s="224"/>
      <c r="C6048" s="36" t="s">
        <v>1670</v>
      </c>
      <c r="D6048" s="163" t="s">
        <v>939</v>
      </c>
      <c r="E6048" s="164">
        <v>2.468</v>
      </c>
      <c r="F6048" s="31">
        <v>11.8649018</v>
      </c>
      <c r="G6048" s="54">
        <f t="shared" si="111"/>
        <v>29.2825776424</v>
      </c>
      <c r="H6048" s="44"/>
      <c r="I6048" s="40"/>
      <c r="J6048" s="155">
        <v>2</v>
      </c>
    </row>
    <row r="6049" spans="1:10" ht="26.4" x14ac:dyDescent="0.3">
      <c r="A6049" s="227"/>
      <c r="B6049" s="224"/>
      <c r="C6049" s="36" t="s">
        <v>1116</v>
      </c>
      <c r="D6049" s="163" t="s">
        <v>122</v>
      </c>
      <c r="E6049" s="164">
        <v>0.1628</v>
      </c>
      <c r="F6049" s="31">
        <v>384.86975261079999</v>
      </c>
      <c r="G6049" s="54">
        <f t="shared" si="111"/>
        <v>62.656795725038236</v>
      </c>
      <c r="H6049" s="44"/>
      <c r="I6049" s="40"/>
      <c r="J6049" s="155">
        <v>2</v>
      </c>
    </row>
    <row r="6050" spans="1:10" ht="26.4" x14ac:dyDescent="0.3">
      <c r="A6050" s="227"/>
      <c r="B6050" s="224"/>
      <c r="C6050" s="36" t="s">
        <v>1681</v>
      </c>
      <c r="D6050" s="163" t="s">
        <v>122</v>
      </c>
      <c r="E6050" s="164">
        <v>6.1600000000000002E-2</v>
      </c>
      <c r="F6050" s="31">
        <v>1992.8849412993961</v>
      </c>
      <c r="G6050" s="54">
        <f t="shared" si="111"/>
        <v>122.76171238404281</v>
      </c>
      <c r="H6050" s="44"/>
      <c r="I6050" s="40"/>
      <c r="J6050" s="155">
        <v>2</v>
      </c>
    </row>
    <row r="6051" spans="1:10" ht="26.4" x14ac:dyDescent="0.3">
      <c r="A6051" s="227"/>
      <c r="B6051" s="224"/>
      <c r="C6051" s="36" t="s">
        <v>2020</v>
      </c>
      <c r="D6051" s="163" t="s">
        <v>1035</v>
      </c>
      <c r="E6051" s="164">
        <v>1.17</v>
      </c>
      <c r="F6051" s="31">
        <v>2.2303405000000001</v>
      </c>
      <c r="G6051" s="54">
        <f t="shared" si="111"/>
        <v>2.6094983849999998</v>
      </c>
      <c r="H6051" s="44"/>
      <c r="I6051" s="40"/>
      <c r="J6051" s="155">
        <v>2</v>
      </c>
    </row>
    <row r="6052" spans="1:10" ht="15" thickBot="1" x14ac:dyDescent="0.35">
      <c r="A6052" s="228"/>
      <c r="B6052" s="225"/>
      <c r="C6052" s="36"/>
      <c r="D6052" s="163"/>
      <c r="E6052" s="164"/>
      <c r="F6052" s="31" t="s">
        <v>560</v>
      </c>
      <c r="G6052" s="54"/>
      <c r="H6052" s="44"/>
      <c r="I6052" s="40"/>
      <c r="J6052" s="155">
        <v>2</v>
      </c>
    </row>
    <row r="6053" spans="1:10" ht="15" thickBot="1" x14ac:dyDescent="0.35">
      <c r="A6053" s="226" t="s">
        <v>2344</v>
      </c>
      <c r="B6053" s="223" t="str">
        <f>INDEX(Orçamentária!A:B,MATCH(Composições!A6053,Orçamentária!A:A,0),2)</f>
        <v>Canaleta de concreto armado 30 cm x 30 cm com tampa</v>
      </c>
      <c r="C6053" s="41"/>
      <c r="D6053" s="26" t="str">
        <f>TRIM(INDEX(Orçamentária!C:C,MATCH(Composições!A6053,Orçamentária!A:A,0),1))</f>
        <v>m</v>
      </c>
      <c r="E6053" s="27"/>
      <c r="F6053" s="49" t="s">
        <v>560</v>
      </c>
      <c r="G6053" s="28" t="str">
        <f t="shared" ref="G6053:G6061" si="112">IF(ISNUMBER(F6053),E6053*F6053,"")</f>
        <v/>
      </c>
      <c r="H6053" s="29"/>
      <c r="I6053" s="30"/>
      <c r="J6053" s="155">
        <v>82.76</v>
      </c>
    </row>
    <row r="6054" spans="1:10" x14ac:dyDescent="0.3">
      <c r="A6054" s="227"/>
      <c r="B6054" s="224"/>
      <c r="C6054" s="170"/>
      <c r="D6054" s="170"/>
      <c r="E6054" s="171"/>
      <c r="F6054" s="54" t="s">
        <v>560</v>
      </c>
      <c r="G6054" s="54" t="str">
        <f t="shared" si="112"/>
        <v/>
      </c>
      <c r="H6054" s="73"/>
      <c r="I6054" s="74"/>
      <c r="J6054" s="155">
        <v>82.76</v>
      </c>
    </row>
    <row r="6055" spans="1:10" x14ac:dyDescent="0.3">
      <c r="A6055" s="227"/>
      <c r="B6055" s="224"/>
      <c r="C6055" s="36" t="s">
        <v>2413</v>
      </c>
      <c r="D6055" s="163" t="s">
        <v>95</v>
      </c>
      <c r="E6055" s="164">
        <v>3.12</v>
      </c>
      <c r="F6055" s="31">
        <v>34.731000000000002</v>
      </c>
      <c r="G6055" s="54">
        <f t="shared" si="112"/>
        <v>108.36072000000001</v>
      </c>
      <c r="H6055" s="39">
        <f>SUM(G6055:G6061)</f>
        <v>415.56307049999998</v>
      </c>
      <c r="I6055" s="40"/>
      <c r="J6055" s="155">
        <v>82.76</v>
      </c>
    </row>
    <row r="6056" spans="1:10" x14ac:dyDescent="0.3">
      <c r="A6056" s="227"/>
      <c r="B6056" s="224"/>
      <c r="C6056" s="36" t="s">
        <v>2417</v>
      </c>
      <c r="D6056" s="163" t="s">
        <v>122</v>
      </c>
      <c r="E6056" s="164">
        <v>0.17299999999999999</v>
      </c>
      <c r="F6056" s="31">
        <v>439.69649999999996</v>
      </c>
      <c r="G6056" s="54">
        <f t="shared" si="112"/>
        <v>76.067494499999981</v>
      </c>
      <c r="H6056" s="44"/>
      <c r="I6056" s="40"/>
      <c r="J6056" s="155">
        <v>82.76</v>
      </c>
    </row>
    <row r="6057" spans="1:10" x14ac:dyDescent="0.3">
      <c r="A6057" s="227"/>
      <c r="B6057" s="224"/>
      <c r="C6057" s="36" t="s">
        <v>2414</v>
      </c>
      <c r="D6057" s="163" t="s">
        <v>95</v>
      </c>
      <c r="E6057" s="164">
        <v>2.56</v>
      </c>
      <c r="F6057" s="31">
        <v>53.498999999999995</v>
      </c>
      <c r="G6057" s="54">
        <f t="shared" si="112"/>
        <v>136.95743999999999</v>
      </c>
      <c r="H6057" s="44"/>
      <c r="I6057" s="40"/>
      <c r="J6057" s="155">
        <v>82.76</v>
      </c>
    </row>
    <row r="6058" spans="1:10" x14ac:dyDescent="0.3">
      <c r="A6058" s="227"/>
      <c r="B6058" s="224"/>
      <c r="C6058" s="36" t="s">
        <v>2415</v>
      </c>
      <c r="D6058" s="163" t="s">
        <v>122</v>
      </c>
      <c r="E6058" s="164">
        <v>3.3000000000000002E-2</v>
      </c>
      <c r="F6058" s="31">
        <v>176.05199999999999</v>
      </c>
      <c r="G6058" s="54">
        <f t="shared" si="112"/>
        <v>5.8097159999999999</v>
      </c>
      <c r="H6058" s="44"/>
      <c r="I6058" s="40"/>
      <c r="J6058" s="155">
        <v>82.76</v>
      </c>
    </row>
    <row r="6059" spans="1:10" x14ac:dyDescent="0.3">
      <c r="A6059" s="227"/>
      <c r="B6059" s="224"/>
      <c r="C6059" s="36" t="s">
        <v>752</v>
      </c>
      <c r="D6059" s="163" t="s">
        <v>744</v>
      </c>
      <c r="E6059" s="164">
        <v>0.25</v>
      </c>
      <c r="F6059" s="31">
        <v>20.314999999999998</v>
      </c>
      <c r="G6059" s="54">
        <f t="shared" si="112"/>
        <v>5.0787499999999994</v>
      </c>
      <c r="H6059" s="44"/>
      <c r="I6059" s="40"/>
      <c r="J6059" s="155">
        <v>82.76</v>
      </c>
    </row>
    <row r="6060" spans="1:10" x14ac:dyDescent="0.3">
      <c r="A6060" s="227"/>
      <c r="B6060" s="224"/>
      <c r="C6060" s="36" t="s">
        <v>745</v>
      </c>
      <c r="D6060" s="163" t="s">
        <v>744</v>
      </c>
      <c r="E6060" s="164">
        <v>0.5</v>
      </c>
      <c r="F6060" s="31">
        <v>14.968499999999999</v>
      </c>
      <c r="G6060" s="54">
        <f t="shared" si="112"/>
        <v>7.4842499999999994</v>
      </c>
      <c r="H6060" s="44"/>
      <c r="I6060" s="40"/>
      <c r="J6060" s="155">
        <v>82.76</v>
      </c>
    </row>
    <row r="6061" spans="1:10" x14ac:dyDescent="0.3">
      <c r="A6061" s="227"/>
      <c r="B6061" s="224"/>
      <c r="C6061" s="36" t="s">
        <v>2416</v>
      </c>
      <c r="D6061" s="163" t="s">
        <v>20</v>
      </c>
      <c r="E6061" s="164">
        <v>1.7</v>
      </c>
      <c r="F6061" s="31">
        <v>44.591000000000001</v>
      </c>
      <c r="G6061" s="54">
        <f t="shared" si="112"/>
        <v>75.804699999999997</v>
      </c>
      <c r="H6061" s="44"/>
      <c r="I6061" s="40"/>
      <c r="J6061" s="155">
        <v>82.76</v>
      </c>
    </row>
    <row r="6062" spans="1:10" ht="15" thickBot="1" x14ac:dyDescent="0.35">
      <c r="A6062" s="228"/>
      <c r="B6062" s="225"/>
      <c r="C6062" s="36"/>
      <c r="D6062" s="163"/>
      <c r="E6062" s="164"/>
      <c r="F6062" s="31" t="s">
        <v>560</v>
      </c>
      <c r="G6062" s="54"/>
      <c r="H6062" s="44"/>
      <c r="I6062" s="40"/>
      <c r="J6062" s="155">
        <v>82.76</v>
      </c>
    </row>
    <row r="6063" spans="1:10" ht="15" thickBot="1" x14ac:dyDescent="0.35">
      <c r="A6063" s="226" t="s">
        <v>2345</v>
      </c>
      <c r="B6063" s="223" t="str">
        <f>INDEX(Orçamentária!A:B,MATCH(Composições!A6063,Orçamentária!A:A,0),2)</f>
        <v>Remoção de árvore, inclusive raiz</v>
      </c>
      <c r="C6063" s="41"/>
      <c r="D6063" s="26" t="str">
        <f>TRIM(INDEX(Orçamentária!C:C,MATCH(Composições!A6063,Orçamentária!A:A,0),1))</f>
        <v>un</v>
      </c>
      <c r="E6063" s="27"/>
      <c r="F6063" s="49" t="s">
        <v>560</v>
      </c>
      <c r="G6063" s="28" t="str">
        <f t="shared" ref="G6063:G6070" si="113">IF(ISNUMBER(F6063),E6063*F6063,"")</f>
        <v/>
      </c>
      <c r="H6063" s="29"/>
      <c r="I6063" s="30"/>
      <c r="J6063" s="155">
        <v>7</v>
      </c>
    </row>
    <row r="6064" spans="1:10" x14ac:dyDescent="0.3">
      <c r="A6064" s="227"/>
      <c r="B6064" s="224"/>
      <c r="C6064" s="170"/>
      <c r="D6064" s="170"/>
      <c r="E6064" s="171"/>
      <c r="F6064" s="54" t="s">
        <v>560</v>
      </c>
      <c r="G6064" s="54" t="str">
        <f t="shared" si="113"/>
        <v/>
      </c>
      <c r="H6064" s="73"/>
      <c r="I6064" s="74"/>
      <c r="J6064" s="155">
        <v>7</v>
      </c>
    </row>
    <row r="6065" spans="1:10" x14ac:dyDescent="0.3">
      <c r="A6065" s="227"/>
      <c r="B6065" s="224"/>
      <c r="C6065" s="36" t="s">
        <v>745</v>
      </c>
      <c r="D6065" s="163" t="s">
        <v>744</v>
      </c>
      <c r="E6065" s="164">
        <v>1.5444</v>
      </c>
      <c r="F6065" s="31">
        <v>14.968499999999999</v>
      </c>
      <c r="G6065" s="54">
        <f t="shared" si="113"/>
        <v>23.117351399999997</v>
      </c>
      <c r="H6065" s="39">
        <f>SUM(G6065:G6070)</f>
        <v>107.80126445000001</v>
      </c>
      <c r="I6065" s="40"/>
      <c r="J6065" s="155">
        <v>7</v>
      </c>
    </row>
    <row r="6066" spans="1:10" x14ac:dyDescent="0.3">
      <c r="A6066" s="227"/>
      <c r="B6066" s="224"/>
      <c r="C6066" s="36" t="s">
        <v>1129</v>
      </c>
      <c r="D6066" s="163" t="s">
        <v>744</v>
      </c>
      <c r="E6066" s="164">
        <v>1.5444</v>
      </c>
      <c r="F6066" s="31">
        <v>19.652000000000001</v>
      </c>
      <c r="G6066" s="54">
        <f t="shared" si="113"/>
        <v>30.350548800000002</v>
      </c>
      <c r="H6066" s="44"/>
      <c r="I6066" s="40"/>
      <c r="J6066" s="155">
        <v>7</v>
      </c>
    </row>
    <row r="6067" spans="1:10" ht="52.8" x14ac:dyDescent="0.3">
      <c r="A6067" s="227"/>
      <c r="B6067" s="224"/>
      <c r="C6067" s="36" t="s">
        <v>1663</v>
      </c>
      <c r="D6067" s="163" t="s">
        <v>985</v>
      </c>
      <c r="E6067" s="164">
        <v>0.54459999999999997</v>
      </c>
      <c r="F6067" s="31">
        <v>36.158999999999999</v>
      </c>
      <c r="G6067" s="54">
        <f t="shared" si="113"/>
        <v>19.692191399999999</v>
      </c>
      <c r="H6067" s="44"/>
      <c r="I6067" s="40"/>
      <c r="J6067" s="155">
        <v>7</v>
      </c>
    </row>
    <row r="6068" spans="1:10" ht="52.8" x14ac:dyDescent="0.3">
      <c r="A6068" s="227"/>
      <c r="B6068" s="224"/>
      <c r="C6068" s="36" t="s">
        <v>1656</v>
      </c>
      <c r="D6068" s="163" t="s">
        <v>983</v>
      </c>
      <c r="E6068" s="164">
        <v>0.1333</v>
      </c>
      <c r="F6068" s="31">
        <v>83.784499999999994</v>
      </c>
      <c r="G6068" s="54">
        <f t="shared" si="113"/>
        <v>11.16847385</v>
      </c>
      <c r="H6068" s="44"/>
      <c r="I6068" s="40"/>
      <c r="J6068" s="155">
        <v>7</v>
      </c>
    </row>
    <row r="6069" spans="1:10" x14ac:dyDescent="0.3">
      <c r="A6069" s="227"/>
      <c r="B6069" s="224"/>
      <c r="C6069" s="36" t="s">
        <v>745</v>
      </c>
      <c r="D6069" s="163" t="s">
        <v>744</v>
      </c>
      <c r="E6069" s="164">
        <v>0.67800000000000005</v>
      </c>
      <c r="F6069" s="31">
        <v>14.968499999999999</v>
      </c>
      <c r="G6069" s="54">
        <f t="shared" si="113"/>
        <v>10.148643</v>
      </c>
      <c r="H6069" s="44"/>
      <c r="I6069" s="40"/>
      <c r="J6069" s="155">
        <v>7</v>
      </c>
    </row>
    <row r="6070" spans="1:10" x14ac:dyDescent="0.3">
      <c r="A6070" s="227"/>
      <c r="B6070" s="224"/>
      <c r="C6070" s="36" t="s">
        <v>1129</v>
      </c>
      <c r="D6070" s="163" t="s">
        <v>744</v>
      </c>
      <c r="E6070" s="164">
        <v>0.67800000000000005</v>
      </c>
      <c r="F6070" s="31">
        <v>19.652000000000001</v>
      </c>
      <c r="G6070" s="54">
        <f t="shared" si="113"/>
        <v>13.324056000000002</v>
      </c>
      <c r="H6070" s="44"/>
      <c r="I6070" s="40"/>
      <c r="J6070" s="155">
        <v>7</v>
      </c>
    </row>
    <row r="6071" spans="1:10" ht="15" thickBot="1" x14ac:dyDescent="0.35">
      <c r="A6071" s="228"/>
      <c r="B6071" s="225"/>
      <c r="C6071" s="36"/>
      <c r="D6071" s="163"/>
      <c r="E6071" s="164"/>
      <c r="F6071" s="31" t="s">
        <v>560</v>
      </c>
      <c r="G6071" s="54"/>
      <c r="H6071" s="44"/>
      <c r="I6071" s="40"/>
      <c r="J6071" s="155">
        <v>7</v>
      </c>
    </row>
    <row r="6072" spans="1:10" ht="15" thickBot="1" x14ac:dyDescent="0.35">
      <c r="A6072" s="226" t="s">
        <v>2346</v>
      </c>
      <c r="B6072" s="223" t="str">
        <f>INDEX(Orçamentária!A:B,MATCH(Composições!A6072,Orçamentária!A:A,0),2)</f>
        <v>Demolição de telhas</v>
      </c>
      <c r="C6072" s="41"/>
      <c r="D6072" s="26" t="str">
        <f>TRIM(INDEX(Orçamentária!C:C,MATCH(Composições!A6072,Orçamentária!A:A,0),1))</f>
        <v>m2</v>
      </c>
      <c r="E6072" s="27"/>
      <c r="F6072" s="49" t="s">
        <v>560</v>
      </c>
      <c r="G6072" s="28" t="str">
        <f>IF(ISNUMBER(F6072),E6072*F6072,"")</f>
        <v/>
      </c>
      <c r="H6072" s="29"/>
      <c r="I6072" s="30"/>
      <c r="J6072" s="155">
        <v>436</v>
      </c>
    </row>
    <row r="6073" spans="1:10" x14ac:dyDescent="0.3">
      <c r="A6073" s="227"/>
      <c r="B6073" s="224"/>
      <c r="C6073" s="170"/>
      <c r="D6073" s="170"/>
      <c r="E6073" s="171"/>
      <c r="F6073" s="54" t="s">
        <v>560</v>
      </c>
      <c r="G6073" s="54" t="str">
        <f>IF(ISNUMBER(F6073),E6073*F6073,"")</f>
        <v/>
      </c>
      <c r="H6073" s="73"/>
      <c r="I6073" s="74"/>
      <c r="J6073" s="155">
        <v>436</v>
      </c>
    </row>
    <row r="6074" spans="1:10" x14ac:dyDescent="0.3">
      <c r="A6074" s="227"/>
      <c r="B6074" s="224"/>
      <c r="C6074" s="36" t="s">
        <v>745</v>
      </c>
      <c r="D6074" s="163" t="s">
        <v>744</v>
      </c>
      <c r="E6074" s="164">
        <v>9.7100000000000006E-2</v>
      </c>
      <c r="F6074" s="31">
        <v>14.968499999999999</v>
      </c>
      <c r="G6074" s="54">
        <f>IF(ISNUMBER(F6074),E6074*F6074,"")</f>
        <v>1.4534413500000001</v>
      </c>
      <c r="H6074" s="39">
        <f>SUM(G6074:G6075)</f>
        <v>2.51536845</v>
      </c>
      <c r="I6074" s="40"/>
      <c r="J6074" s="155">
        <v>436</v>
      </c>
    </row>
    <row r="6075" spans="1:10" x14ac:dyDescent="0.3">
      <c r="A6075" s="227"/>
      <c r="B6075" s="224"/>
      <c r="C6075" s="36" t="s">
        <v>1368</v>
      </c>
      <c r="D6075" s="163" t="s">
        <v>744</v>
      </c>
      <c r="E6075" s="164">
        <v>4.9399999999999999E-2</v>
      </c>
      <c r="F6075" s="31">
        <v>21.496499999999997</v>
      </c>
      <c r="G6075" s="54">
        <f>IF(ISNUMBER(F6075),E6075*F6075,"")</f>
        <v>1.0619270999999999</v>
      </c>
      <c r="H6075" s="44"/>
      <c r="I6075" s="40"/>
      <c r="J6075" s="155">
        <v>436</v>
      </c>
    </row>
    <row r="6076" spans="1:10" ht="15" thickBot="1" x14ac:dyDescent="0.35">
      <c r="A6076" s="228"/>
      <c r="B6076" s="225"/>
      <c r="C6076" s="36"/>
      <c r="D6076" s="163"/>
      <c r="E6076" s="164"/>
      <c r="F6076" s="31" t="s">
        <v>560</v>
      </c>
      <c r="G6076" s="54"/>
      <c r="H6076" s="44"/>
      <c r="I6076" s="40"/>
      <c r="J6076" s="155">
        <v>436</v>
      </c>
    </row>
    <row r="6077" spans="1:10" ht="15" thickBot="1" x14ac:dyDescent="0.35">
      <c r="A6077" s="226" t="s">
        <v>2347</v>
      </c>
      <c r="B6077" s="223" t="str">
        <f>INDEX(Orçamentária!A:B,MATCH(Composições!A6077,Orçamentária!A:A,0),2)</f>
        <v>Locação de obra</v>
      </c>
      <c r="C6077" s="41"/>
      <c r="D6077" s="26" t="str">
        <f>TRIM(INDEX(Orçamentária!C:C,MATCH(Composições!A6077,Orçamentária!A:A,0),1))</f>
        <v>m</v>
      </c>
      <c r="E6077" s="27"/>
      <c r="F6077" s="49" t="s">
        <v>560</v>
      </c>
      <c r="G6077" s="28" t="str">
        <f t="shared" ref="G6077:G6089" si="114">IF(ISNUMBER(F6077),E6077*F6077,"")</f>
        <v/>
      </c>
      <c r="H6077" s="29"/>
      <c r="I6077" s="30"/>
      <c r="J6077" s="155">
        <v>1800</v>
      </c>
    </row>
    <row r="6078" spans="1:10" x14ac:dyDescent="0.3">
      <c r="A6078" s="227"/>
      <c r="B6078" s="224"/>
      <c r="C6078" s="170"/>
      <c r="D6078" s="170"/>
      <c r="E6078" s="171"/>
      <c r="F6078" s="54" t="s">
        <v>560</v>
      </c>
      <c r="G6078" s="54" t="str">
        <f t="shared" si="114"/>
        <v/>
      </c>
      <c r="H6078" s="73"/>
      <c r="I6078" s="74"/>
      <c r="J6078" s="155">
        <v>1800</v>
      </c>
    </row>
    <row r="6079" spans="1:10" ht="26.4" x14ac:dyDescent="0.3">
      <c r="A6079" s="227"/>
      <c r="B6079" s="224"/>
      <c r="C6079" s="36" t="s">
        <v>2063</v>
      </c>
      <c r="D6079" s="163" t="s">
        <v>515</v>
      </c>
      <c r="E6079" s="164">
        <v>0.74450000000000005</v>
      </c>
      <c r="F6079" s="31">
        <v>5.7544999999999993</v>
      </c>
      <c r="G6079" s="54">
        <f t="shared" si="114"/>
        <v>4.2842252499999995</v>
      </c>
      <c r="H6079" s="39">
        <f>SUM(G6079:G6089)</f>
        <v>44.685352779461404</v>
      </c>
      <c r="I6079" s="40"/>
      <c r="J6079" s="155">
        <v>1800</v>
      </c>
    </row>
    <row r="6080" spans="1:10" ht="26.4" x14ac:dyDescent="0.3">
      <c r="A6080" s="227"/>
      <c r="B6080" s="224"/>
      <c r="C6080" s="36" t="s">
        <v>2060</v>
      </c>
      <c r="D6080" s="163" t="s">
        <v>515</v>
      </c>
      <c r="E6080" s="164">
        <v>0.41249999999999998</v>
      </c>
      <c r="F6080" s="31">
        <v>20.689</v>
      </c>
      <c r="G6080" s="54">
        <f t="shared" si="114"/>
        <v>8.5342124999999989</v>
      </c>
      <c r="H6080" s="44"/>
      <c r="I6080" s="40"/>
      <c r="J6080" s="155">
        <v>1800</v>
      </c>
    </row>
    <row r="6081" spans="1:10" x14ac:dyDescent="0.3">
      <c r="A6081" s="227"/>
      <c r="B6081" s="224"/>
      <c r="C6081" s="36" t="s">
        <v>1434</v>
      </c>
      <c r="D6081" s="163" t="s">
        <v>939</v>
      </c>
      <c r="E6081" s="164">
        <v>0.111</v>
      </c>
      <c r="F6081" s="31">
        <v>17.203999999999997</v>
      </c>
      <c r="G6081" s="54">
        <f t="shared" si="114"/>
        <v>1.9096439999999997</v>
      </c>
      <c r="H6081" s="44"/>
      <c r="I6081" s="40"/>
      <c r="J6081" s="155">
        <v>1800</v>
      </c>
    </row>
    <row r="6082" spans="1:10" x14ac:dyDescent="0.3">
      <c r="A6082" s="227"/>
      <c r="B6082" s="224"/>
      <c r="C6082" s="36" t="s">
        <v>1310</v>
      </c>
      <c r="D6082" s="163" t="s">
        <v>103</v>
      </c>
      <c r="E6082" s="164">
        <v>2.5600000000000001E-2</v>
      </c>
      <c r="F6082" s="31">
        <v>19.660499999999999</v>
      </c>
      <c r="G6082" s="54">
        <f t="shared" si="114"/>
        <v>0.5033088</v>
      </c>
      <c r="H6082" s="44"/>
      <c r="I6082" s="40"/>
      <c r="J6082" s="155">
        <v>1800</v>
      </c>
    </row>
    <row r="6083" spans="1:10" ht="26.4" x14ac:dyDescent="0.3">
      <c r="A6083" s="227"/>
      <c r="B6083" s="224"/>
      <c r="C6083" s="36" t="s">
        <v>2037</v>
      </c>
      <c r="D6083" s="163" t="s">
        <v>515</v>
      </c>
      <c r="E6083" s="164">
        <v>0.55000000000000004</v>
      </c>
      <c r="F6083" s="31">
        <v>6.9699999999999989</v>
      </c>
      <c r="G6083" s="54">
        <f t="shared" si="114"/>
        <v>3.8334999999999995</v>
      </c>
      <c r="H6083" s="44"/>
      <c r="I6083" s="40"/>
      <c r="J6083" s="155">
        <v>1800</v>
      </c>
    </row>
    <row r="6084" spans="1:10" x14ac:dyDescent="0.3">
      <c r="A6084" s="227"/>
      <c r="B6084" s="224"/>
      <c r="C6084" s="36" t="s">
        <v>827</v>
      </c>
      <c r="D6084" s="163" t="s">
        <v>744</v>
      </c>
      <c r="E6084" s="164">
        <v>0.35630000000000001</v>
      </c>
      <c r="F6084" s="31">
        <v>16.966000000000001</v>
      </c>
      <c r="G6084" s="54">
        <f t="shared" si="114"/>
        <v>6.0449858000000001</v>
      </c>
      <c r="H6084" s="44"/>
      <c r="I6084" s="40"/>
      <c r="J6084" s="155">
        <v>1800</v>
      </c>
    </row>
    <row r="6085" spans="1:10" x14ac:dyDescent="0.3">
      <c r="A6085" s="227"/>
      <c r="B6085" s="224"/>
      <c r="C6085" s="36" t="s">
        <v>1036</v>
      </c>
      <c r="D6085" s="163" t="s">
        <v>744</v>
      </c>
      <c r="E6085" s="164">
        <v>0.71250000000000002</v>
      </c>
      <c r="F6085" s="31">
        <v>20.128</v>
      </c>
      <c r="G6085" s="54">
        <f t="shared" si="114"/>
        <v>14.341200000000001</v>
      </c>
      <c r="H6085" s="44"/>
      <c r="I6085" s="40"/>
      <c r="J6085" s="155">
        <v>1800</v>
      </c>
    </row>
    <row r="6086" spans="1:10" ht="26.4" x14ac:dyDescent="0.3">
      <c r="A6086" s="227"/>
      <c r="B6086" s="224"/>
      <c r="C6086" s="36" t="s">
        <v>1208</v>
      </c>
      <c r="D6086" s="163" t="s">
        <v>983</v>
      </c>
      <c r="E6086" s="164">
        <v>3.8999999999999998E-3</v>
      </c>
      <c r="F6086" s="31">
        <v>17.807499999999997</v>
      </c>
      <c r="G6086" s="54">
        <f t="shared" si="114"/>
        <v>6.944924999999999E-2</v>
      </c>
      <c r="H6086" s="44"/>
      <c r="I6086" s="40"/>
      <c r="J6086" s="155">
        <v>1800</v>
      </c>
    </row>
    <row r="6087" spans="1:10" ht="26.4" x14ac:dyDescent="0.3">
      <c r="A6087" s="227"/>
      <c r="B6087" s="224"/>
      <c r="C6087" s="36" t="s">
        <v>1209</v>
      </c>
      <c r="D6087" s="163" t="s">
        <v>985</v>
      </c>
      <c r="E6087" s="164">
        <v>1.6799999999999999E-2</v>
      </c>
      <c r="F6087" s="31">
        <v>15.911999999999999</v>
      </c>
      <c r="G6087" s="54">
        <f t="shared" si="114"/>
        <v>0.26732159999999999</v>
      </c>
      <c r="H6087" s="44"/>
      <c r="I6087" s="40"/>
      <c r="J6087" s="155">
        <v>1800</v>
      </c>
    </row>
    <row r="6088" spans="1:10" ht="26.4" x14ac:dyDescent="0.3">
      <c r="A6088" s="227"/>
      <c r="B6088" s="224"/>
      <c r="C6088" s="36" t="s">
        <v>1679</v>
      </c>
      <c r="D6088" s="163" t="s">
        <v>122</v>
      </c>
      <c r="E6088" s="164">
        <v>4.5999999999999999E-3</v>
      </c>
      <c r="F6088" s="31">
        <v>443.56053901334991</v>
      </c>
      <c r="G6088" s="54">
        <f t="shared" si="114"/>
        <v>2.0403784794614097</v>
      </c>
      <c r="H6088" s="44"/>
      <c r="I6088" s="40"/>
      <c r="J6088" s="155">
        <v>1800</v>
      </c>
    </row>
    <row r="6089" spans="1:10" x14ac:dyDescent="0.3">
      <c r="A6089" s="227"/>
      <c r="B6089" s="224"/>
      <c r="C6089" s="36" t="s">
        <v>1692</v>
      </c>
      <c r="D6089" s="163" t="s">
        <v>292</v>
      </c>
      <c r="E6089" s="164">
        <v>1.5</v>
      </c>
      <c r="F6089" s="31">
        <v>1.9047514000000003</v>
      </c>
      <c r="G6089" s="54">
        <f t="shared" si="114"/>
        <v>2.8571271000000005</v>
      </c>
      <c r="H6089" s="44"/>
      <c r="I6089" s="40"/>
      <c r="J6089" s="155">
        <v>1800</v>
      </c>
    </row>
    <row r="6090" spans="1:10" ht="15" thickBot="1" x14ac:dyDescent="0.35">
      <c r="A6090" s="228"/>
      <c r="B6090" s="225"/>
      <c r="C6090" s="36"/>
      <c r="D6090" s="163"/>
      <c r="E6090" s="164"/>
      <c r="F6090" s="31" t="s">
        <v>560</v>
      </c>
      <c r="G6090" s="54"/>
      <c r="H6090" s="44"/>
      <c r="I6090" s="40"/>
      <c r="J6090" s="155">
        <v>1800</v>
      </c>
    </row>
    <row r="6091" spans="1:10" ht="15" hidden="1" thickBot="1" x14ac:dyDescent="0.35">
      <c r="A6091" s="226" t="s">
        <v>2348</v>
      </c>
      <c r="B6091" s="233" t="e">
        <f>INDEX(#REF!,MATCH(Composições!A6091,#REF!,0),2)</f>
        <v>#REF!</v>
      </c>
      <c r="C6091" s="41"/>
      <c r="D6091" s="26" t="e">
        <f>TRIM(INDEX(#REF!,MATCH(Composições!A6091,#REF!,0),1))</f>
        <v>#REF!</v>
      </c>
      <c r="E6091" s="27"/>
      <c r="F6091" s="49" t="s">
        <v>560</v>
      </c>
      <c r="G6091" s="28" t="str">
        <f t="shared" ref="G6091:G6102" si="115">IF(ISNUMBER(F6091),E6091*F6091,"")</f>
        <v/>
      </c>
      <c r="H6091" s="29"/>
      <c r="I6091" s="30"/>
      <c r="J6091" s="155">
        <v>0</v>
      </c>
    </row>
    <row r="6092" spans="1:10" ht="15" hidden="1" thickBot="1" x14ac:dyDescent="0.35">
      <c r="A6092" s="227"/>
      <c r="B6092" s="234"/>
      <c r="C6092" s="170"/>
      <c r="D6092" s="170"/>
      <c r="E6092" s="171"/>
      <c r="F6092" s="54" t="s">
        <v>560</v>
      </c>
      <c r="G6092" s="54" t="str">
        <f t="shared" si="115"/>
        <v/>
      </c>
      <c r="H6092" s="73"/>
      <c r="I6092" s="74"/>
      <c r="J6092" s="155">
        <v>0</v>
      </c>
    </row>
    <row r="6093" spans="1:10" ht="27" hidden="1" thickBot="1" x14ac:dyDescent="0.35">
      <c r="A6093" s="227"/>
      <c r="B6093" s="234"/>
      <c r="C6093" s="36" t="s">
        <v>2418</v>
      </c>
      <c r="D6093" s="163" t="s">
        <v>292</v>
      </c>
      <c r="E6093" s="164">
        <v>4</v>
      </c>
      <c r="F6093" s="31">
        <v>6.0434999999999999</v>
      </c>
      <c r="G6093" s="54">
        <f t="shared" si="115"/>
        <v>24.173999999999999</v>
      </c>
      <c r="H6093" s="39">
        <f>SUM(G6093:G6102)</f>
        <v>369.44237469599994</v>
      </c>
      <c r="I6093" s="40"/>
      <c r="J6093" s="155">
        <v>0</v>
      </c>
    </row>
    <row r="6094" spans="1:10" ht="15" hidden="1" thickBot="1" x14ac:dyDescent="0.35">
      <c r="A6094" s="227"/>
      <c r="B6094" s="234"/>
      <c r="C6094" s="36" t="s">
        <v>752</v>
      </c>
      <c r="D6094" s="163" t="s">
        <v>744</v>
      </c>
      <c r="E6094" s="164">
        <v>0.4</v>
      </c>
      <c r="F6094" s="31">
        <v>20.314999999999998</v>
      </c>
      <c r="G6094" s="54">
        <f t="shared" si="115"/>
        <v>8.1259999999999994</v>
      </c>
      <c r="H6094" s="44"/>
      <c r="I6094" s="40"/>
      <c r="J6094" s="155">
        <v>0</v>
      </c>
    </row>
    <row r="6095" spans="1:10" ht="15" hidden="1" thickBot="1" x14ac:dyDescent="0.35">
      <c r="A6095" s="227"/>
      <c r="B6095" s="234"/>
      <c r="C6095" s="36" t="s">
        <v>655</v>
      </c>
      <c r="D6095" s="163" t="s">
        <v>744</v>
      </c>
      <c r="E6095" s="164">
        <v>1.5</v>
      </c>
      <c r="F6095" s="31">
        <v>20.213000000000001</v>
      </c>
      <c r="G6095" s="54">
        <f t="shared" si="115"/>
        <v>30.319500000000001</v>
      </c>
      <c r="H6095" s="44"/>
      <c r="I6095" s="40"/>
      <c r="J6095" s="155">
        <v>0</v>
      </c>
    </row>
    <row r="6096" spans="1:10" ht="15" hidden="1" thickBot="1" x14ac:dyDescent="0.35">
      <c r="A6096" s="227"/>
      <c r="B6096" s="234"/>
      <c r="C6096" s="36" t="s">
        <v>745</v>
      </c>
      <c r="D6096" s="163" t="s">
        <v>744</v>
      </c>
      <c r="E6096" s="164">
        <v>0.4</v>
      </c>
      <c r="F6096" s="31">
        <v>14.968499999999999</v>
      </c>
      <c r="G6096" s="54">
        <f t="shared" si="115"/>
        <v>5.9874000000000001</v>
      </c>
      <c r="H6096" s="44"/>
      <c r="I6096" s="40"/>
      <c r="J6096" s="155">
        <v>0</v>
      </c>
    </row>
    <row r="6097" spans="1:10" ht="15" hidden="1" thickBot="1" x14ac:dyDescent="0.35">
      <c r="A6097" s="227"/>
      <c r="B6097" s="234"/>
      <c r="C6097" s="36" t="s">
        <v>1234</v>
      </c>
      <c r="D6097" s="163" t="s">
        <v>42</v>
      </c>
      <c r="E6097" s="164">
        <f>0.023*74.69</f>
        <v>1.71787</v>
      </c>
      <c r="F6097" s="31">
        <v>9.86</v>
      </c>
      <c r="G6097" s="54">
        <f t="shared" si="115"/>
        <v>16.938198199999999</v>
      </c>
      <c r="H6097" s="44"/>
      <c r="I6097" s="40"/>
      <c r="J6097" s="155">
        <v>0</v>
      </c>
    </row>
    <row r="6098" spans="1:10" ht="27" hidden="1" thickBot="1" x14ac:dyDescent="0.35">
      <c r="A6098" s="227"/>
      <c r="B6098" s="234"/>
      <c r="C6098" s="36" t="s">
        <v>1857</v>
      </c>
      <c r="D6098" s="163" t="s">
        <v>93</v>
      </c>
      <c r="E6098" s="164">
        <v>3.05</v>
      </c>
      <c r="F6098" s="31">
        <v>87.974999999999994</v>
      </c>
      <c r="G6098" s="54">
        <f t="shared" si="115"/>
        <v>268.32374999999996</v>
      </c>
      <c r="H6098" s="44"/>
      <c r="I6098" s="40"/>
      <c r="J6098" s="155">
        <v>0</v>
      </c>
    </row>
    <row r="6099" spans="1:10" ht="27" hidden="1" thickBot="1" x14ac:dyDescent="0.35">
      <c r="A6099" s="227"/>
      <c r="B6099" s="234"/>
      <c r="C6099" s="36" t="s">
        <v>1080</v>
      </c>
      <c r="D6099" s="163" t="s">
        <v>292</v>
      </c>
      <c r="E6099" s="164">
        <v>4</v>
      </c>
      <c r="F6099" s="31">
        <v>1.3345</v>
      </c>
      <c r="G6099" s="54">
        <f t="shared" si="115"/>
        <v>5.3380000000000001</v>
      </c>
      <c r="H6099" s="44"/>
      <c r="I6099" s="40"/>
      <c r="J6099" s="155">
        <v>0</v>
      </c>
    </row>
    <row r="6100" spans="1:10" ht="15" hidden="1" thickBot="1" x14ac:dyDescent="0.35">
      <c r="A6100" s="227"/>
      <c r="B6100" s="234"/>
      <c r="C6100" s="36" t="s">
        <v>1426</v>
      </c>
      <c r="D6100" s="163" t="s">
        <v>42</v>
      </c>
      <c r="E6100" s="164">
        <v>0.02</v>
      </c>
      <c r="F6100" s="31">
        <v>82.228999999999999</v>
      </c>
      <c r="G6100" s="54">
        <f t="shared" si="115"/>
        <v>1.6445799999999999</v>
      </c>
      <c r="H6100" s="44"/>
      <c r="I6100" s="40"/>
      <c r="J6100" s="155">
        <v>0</v>
      </c>
    </row>
    <row r="6101" spans="1:10" ht="15" hidden="1" thickBot="1" x14ac:dyDescent="0.35">
      <c r="A6101" s="227"/>
      <c r="B6101" s="234"/>
      <c r="C6101" s="36" t="s">
        <v>101</v>
      </c>
      <c r="D6101" s="47" t="s">
        <v>12</v>
      </c>
      <c r="E6101" s="37">
        <f>0.5708*0.48</f>
        <v>0.27398399999999995</v>
      </c>
      <c r="F6101" s="31">
        <v>21.156500000000001</v>
      </c>
      <c r="G6101" s="54">
        <f t="shared" si="115"/>
        <v>5.7965424959999989</v>
      </c>
      <c r="H6101" s="44"/>
      <c r="I6101" s="40"/>
      <c r="J6101" s="155">
        <v>0</v>
      </c>
    </row>
    <row r="6102" spans="1:10" ht="15" hidden="1" thickBot="1" x14ac:dyDescent="0.35">
      <c r="A6102" s="227"/>
      <c r="B6102" s="234"/>
      <c r="C6102" s="36" t="s">
        <v>216</v>
      </c>
      <c r="D6102" s="50" t="s">
        <v>103</v>
      </c>
      <c r="E6102" s="37">
        <f>ROUND(0.48*3*3.6/75,4)</f>
        <v>6.9099999999999995E-2</v>
      </c>
      <c r="F6102" s="31">
        <v>40.44</v>
      </c>
      <c r="G6102" s="54">
        <f t="shared" si="115"/>
        <v>2.7944039999999997</v>
      </c>
      <c r="H6102" s="44"/>
      <c r="I6102" s="40"/>
      <c r="J6102" s="155">
        <v>0</v>
      </c>
    </row>
    <row r="6103" spans="1:10" ht="15" hidden="1" thickBot="1" x14ac:dyDescent="0.35">
      <c r="A6103" s="227"/>
      <c r="B6103" s="234"/>
      <c r="C6103" s="36"/>
      <c r="D6103" s="50"/>
      <c r="E6103" s="37"/>
      <c r="F6103" s="31"/>
      <c r="G6103" s="54"/>
      <c r="H6103" s="44"/>
      <c r="I6103" s="40"/>
      <c r="J6103" s="155">
        <v>0</v>
      </c>
    </row>
    <row r="6104" spans="1:10" ht="40.200000000000003" hidden="1" thickBot="1" x14ac:dyDescent="0.35">
      <c r="A6104" s="227"/>
      <c r="B6104" s="234"/>
      <c r="C6104" s="52" t="s">
        <v>1864</v>
      </c>
      <c r="D6104" s="50"/>
      <c r="E6104" s="37"/>
      <c r="F6104" s="31"/>
      <c r="G6104" s="54"/>
      <c r="H6104" s="44"/>
      <c r="I6104" s="40"/>
      <c r="J6104" s="155">
        <v>0</v>
      </c>
    </row>
    <row r="6105" spans="1:10" ht="15" hidden="1" thickBot="1" x14ac:dyDescent="0.35">
      <c r="A6105" s="228"/>
      <c r="B6105" s="235"/>
      <c r="C6105" s="36"/>
      <c r="D6105" s="163"/>
      <c r="E6105" s="164"/>
      <c r="F6105" s="31" t="s">
        <v>560</v>
      </c>
      <c r="G6105" s="54"/>
      <c r="H6105" s="44"/>
      <c r="I6105" s="40"/>
      <c r="J6105" s="155">
        <v>0</v>
      </c>
    </row>
    <row r="6106" spans="1:10" ht="15" thickBot="1" x14ac:dyDescent="0.35">
      <c r="A6106" s="226" t="s">
        <v>2350</v>
      </c>
      <c r="B6106" s="223" t="str">
        <f>INDEX(Orçamentária!A:B,MATCH(Composições!A6106,Orçamentária!A:A,0),2)</f>
        <v>Poste reto 5 metros – fornecimento e instalação</v>
      </c>
      <c r="C6106" s="41"/>
      <c r="D6106" s="26" t="str">
        <f>TRIM(INDEX(Orçamentária!C:C,MATCH(Composições!A6106,Orçamentária!A:A,0),1))</f>
        <v>un</v>
      </c>
      <c r="E6106" s="27"/>
      <c r="F6106" s="42" t="s">
        <v>560</v>
      </c>
      <c r="G6106" s="28" t="str">
        <f t="shared" ref="G6106:G6118" si="116">IF(ISNUMBER(F6106),E6106*F6106,"")</f>
        <v/>
      </c>
      <c r="H6106" s="29"/>
      <c r="I6106" s="30"/>
      <c r="J6106" s="155">
        <v>2</v>
      </c>
    </row>
    <row r="6107" spans="1:10" x14ac:dyDescent="0.3">
      <c r="A6107" s="229"/>
      <c r="B6107" s="224"/>
      <c r="C6107" s="32"/>
      <c r="D6107" s="32"/>
      <c r="E6107" s="33"/>
      <c r="F6107" s="43" t="s">
        <v>560</v>
      </c>
      <c r="G6107" s="31" t="str">
        <f t="shared" si="116"/>
        <v/>
      </c>
      <c r="H6107" s="35"/>
      <c r="I6107" s="31"/>
      <c r="J6107" s="155">
        <v>2</v>
      </c>
    </row>
    <row r="6108" spans="1:10" ht="26.4" x14ac:dyDescent="0.3">
      <c r="A6108" s="229"/>
      <c r="B6108" s="224"/>
      <c r="C6108" s="36" t="s">
        <v>2419</v>
      </c>
      <c r="D6108" s="36" t="s">
        <v>292</v>
      </c>
      <c r="E6108" s="37">
        <v>1</v>
      </c>
      <c r="F6108" s="34">
        <v>1283.5899999999999</v>
      </c>
      <c r="G6108" s="31">
        <f t="shared" si="116"/>
        <v>1283.5899999999999</v>
      </c>
      <c r="H6108" s="39">
        <f>SUM(G6108:G6111)</f>
        <v>1347.5806435</v>
      </c>
      <c r="I6108" s="40"/>
      <c r="J6108" s="155">
        <v>2</v>
      </c>
    </row>
    <row r="6109" spans="1:10" ht="52.8" x14ac:dyDescent="0.3">
      <c r="A6109" s="229"/>
      <c r="B6109" s="224"/>
      <c r="C6109" s="36" t="s">
        <v>1657</v>
      </c>
      <c r="D6109" s="36" t="s">
        <v>983</v>
      </c>
      <c r="E6109" s="37">
        <v>0.111</v>
      </c>
      <c r="F6109" s="34">
        <v>158.76300000000001</v>
      </c>
      <c r="G6109" s="31">
        <f t="shared" si="116"/>
        <v>17.622693000000002</v>
      </c>
      <c r="H6109" s="45"/>
      <c r="I6109" s="46"/>
      <c r="J6109" s="155">
        <v>2</v>
      </c>
    </row>
    <row r="6110" spans="1:10" x14ac:dyDescent="0.3">
      <c r="A6110" s="229"/>
      <c r="B6110" s="224"/>
      <c r="C6110" s="36" t="s">
        <v>1214</v>
      </c>
      <c r="D6110" s="36" t="s">
        <v>744</v>
      </c>
      <c r="E6110" s="37">
        <f>1.124/2</f>
        <v>0.56200000000000006</v>
      </c>
      <c r="F6110" s="34">
        <v>15.928999999999998</v>
      </c>
      <c r="G6110" s="31">
        <f t="shared" si="116"/>
        <v>8.9520979999999994</v>
      </c>
      <c r="H6110" s="45"/>
      <c r="I6110" s="46"/>
      <c r="J6110" s="155">
        <v>2</v>
      </c>
    </row>
    <row r="6111" spans="1:10" x14ac:dyDescent="0.3">
      <c r="A6111" s="229"/>
      <c r="B6111" s="224"/>
      <c r="C6111" s="36" t="s">
        <v>1215</v>
      </c>
      <c r="D6111" s="36" t="s">
        <v>744</v>
      </c>
      <c r="E6111" s="37">
        <f>3.653/2</f>
        <v>1.8265</v>
      </c>
      <c r="F6111" s="31">
        <v>20.484999999999999</v>
      </c>
      <c r="G6111" s="31">
        <f t="shared" si="116"/>
        <v>37.4158525</v>
      </c>
      <c r="H6111" s="35"/>
      <c r="I6111" s="31"/>
      <c r="J6111" s="155">
        <v>2</v>
      </c>
    </row>
    <row r="6112" spans="1:10" ht="15" thickBot="1" x14ac:dyDescent="0.35">
      <c r="A6112" s="230"/>
      <c r="B6112" s="225"/>
      <c r="C6112" s="36"/>
      <c r="D6112" s="36"/>
      <c r="E6112" s="37"/>
      <c r="F6112" s="31" t="s">
        <v>560</v>
      </c>
      <c r="G6112" s="31" t="str">
        <f t="shared" si="116"/>
        <v/>
      </c>
      <c r="H6112" s="35"/>
      <c r="I6112" s="31"/>
      <c r="J6112" s="155">
        <v>2</v>
      </c>
    </row>
    <row r="6113" spans="1:10" ht="15" thickBot="1" x14ac:dyDescent="0.35">
      <c r="A6113" s="226" t="s">
        <v>2351</v>
      </c>
      <c r="B6113" s="223" t="str">
        <f>INDEX(Orçamentária!A:B,MATCH(Composições!A6113,Orçamentária!A:A,0),2)</f>
        <v>Suporte para luminária de poste simples – fornecimento e instalação</v>
      </c>
      <c r="C6113" s="41"/>
      <c r="D6113" s="26" t="str">
        <f>TRIM(INDEX(Orçamentária!C:C,MATCH(Composições!A6113,Orçamentária!A:A,0),1))</f>
        <v>un</v>
      </c>
      <c r="E6113" s="27"/>
      <c r="F6113" s="42" t="s">
        <v>560</v>
      </c>
      <c r="G6113" s="28" t="str">
        <f t="shared" si="116"/>
        <v/>
      </c>
      <c r="H6113" s="29"/>
      <c r="I6113" s="30"/>
      <c r="J6113" s="155">
        <v>2</v>
      </c>
    </row>
    <row r="6114" spans="1:10" x14ac:dyDescent="0.3">
      <c r="A6114" s="229"/>
      <c r="B6114" s="224"/>
      <c r="C6114" s="32"/>
      <c r="D6114" s="32"/>
      <c r="E6114" s="33"/>
      <c r="F6114" s="43" t="s">
        <v>560</v>
      </c>
      <c r="G6114" s="31" t="str">
        <f t="shared" si="116"/>
        <v/>
      </c>
      <c r="H6114" s="35"/>
      <c r="I6114" s="31"/>
      <c r="J6114" s="155">
        <v>2</v>
      </c>
    </row>
    <row r="6115" spans="1:10" x14ac:dyDescent="0.3">
      <c r="A6115" s="229"/>
      <c r="B6115" s="224"/>
      <c r="C6115" s="36" t="s">
        <v>2420</v>
      </c>
      <c r="D6115" s="36" t="s">
        <v>292</v>
      </c>
      <c r="E6115" s="37">
        <v>1</v>
      </c>
      <c r="F6115" s="34">
        <v>111.46</v>
      </c>
      <c r="G6115" s="31">
        <f t="shared" si="116"/>
        <v>111.46</v>
      </c>
      <c r="H6115" s="39">
        <f>SUM(G6115:G6117)</f>
        <v>129.667</v>
      </c>
      <c r="I6115" s="40"/>
      <c r="J6115" s="155">
        <v>2</v>
      </c>
    </row>
    <row r="6116" spans="1:10" x14ac:dyDescent="0.3">
      <c r="A6116" s="229"/>
      <c r="B6116" s="224"/>
      <c r="C6116" s="36" t="s">
        <v>1214</v>
      </c>
      <c r="D6116" s="36" t="s">
        <v>744</v>
      </c>
      <c r="E6116" s="37">
        <v>0.5</v>
      </c>
      <c r="F6116" s="34">
        <v>15.928999999999998</v>
      </c>
      <c r="G6116" s="31">
        <f t="shared" si="116"/>
        <v>7.9644999999999992</v>
      </c>
      <c r="H6116" s="45"/>
      <c r="I6116" s="46"/>
      <c r="J6116" s="155">
        <v>2</v>
      </c>
    </row>
    <row r="6117" spans="1:10" x14ac:dyDescent="0.3">
      <c r="A6117" s="229"/>
      <c r="B6117" s="224"/>
      <c r="C6117" s="36" t="s">
        <v>1215</v>
      </c>
      <c r="D6117" s="36" t="s">
        <v>744</v>
      </c>
      <c r="E6117" s="37">
        <v>0.5</v>
      </c>
      <c r="F6117" s="31">
        <v>20.484999999999999</v>
      </c>
      <c r="G6117" s="31">
        <f t="shared" si="116"/>
        <v>10.2425</v>
      </c>
      <c r="H6117" s="35"/>
      <c r="I6117" s="31"/>
      <c r="J6117" s="155">
        <v>2</v>
      </c>
    </row>
    <row r="6118" spans="1:10" ht="15" thickBot="1" x14ac:dyDescent="0.35">
      <c r="A6118" s="230"/>
      <c r="B6118" s="225"/>
      <c r="C6118" s="55"/>
      <c r="D6118" s="55"/>
      <c r="E6118" s="66"/>
      <c r="F6118" s="67" t="s">
        <v>560</v>
      </c>
      <c r="G6118" s="67" t="str">
        <f t="shared" si="116"/>
        <v/>
      </c>
      <c r="H6118" s="69"/>
      <c r="I6118" s="31"/>
      <c r="J6118" s="155">
        <v>2</v>
      </c>
    </row>
  </sheetData>
  <protectedRanges>
    <protectedRange sqref="C217 C108 C3152:C3153 C816 C3296 C1854 C1860 C1896 C1872 C1890 C1866 C1878 C1884 C1902 C1908 C1813 C1818 C1914 C2395 C3157 C3284 C3193 C3214 C3161 C3168 C3130 C3199 C3209 C3183 C3189 C3201 C3290 C1935 C1940 C1945 C2729 C2409 C2750 C2755 C2429 C2401 C2405 C2413 C2417 C2421 C2425 C2433 C2721 C118" name="COTACOES_92_6"/>
    <protectedRange sqref="C355" name="COTACOES_14_1_1"/>
    <protectedRange sqref="C421 C400" name="COTACOES_92_13_1"/>
    <protectedRange sqref="C507" name="COTACOES_92_4_1_1"/>
    <protectedRange sqref="C500" name="COTACOES_92_4_2_1"/>
    <protectedRange sqref="C794:C795 C762 C759:C760 C776:C777 C779 C800" name="COTACOES_92_3_1_1"/>
    <protectedRange sqref="C750" name="COTACOES_92_22_1"/>
    <protectedRange sqref="C1226" name="COTACOES_91_1_2_1"/>
    <protectedRange sqref="C1219" name="COTACOES_91_1_3_1"/>
    <protectedRange sqref="C1388:C1389" name="COTACOES_68_1_1"/>
    <protectedRange sqref="F1526 F1542 F1518 F1510 F1534" name="COTACOES_27_1_2_1_8_1"/>
    <protectedRange sqref="C1550 C1526 C1542 C1518 C1510 C1534" name="COTACOES_5_1_8_1"/>
    <protectedRange sqref="C1407:C1411 C1422:C1426 C1437:C1441 C1452:C1456 C1467:C1471 C1482:C1486 C1497:C1501" name="COTACOES_32_1_1"/>
    <protectedRange sqref="F1582 F1585 F1588" name="COTACOES_27_1_2_1_17_1"/>
    <protectedRange sqref="C1581:C1586 C1588:C1589" name="COTACOES_5_1_17_1"/>
    <protectedRange sqref="C1646 C1629 C1623 C1652 C4923 C4929" name="COTACOES_15_1_1"/>
    <protectedRange sqref="C1735 C1746 C5222 C1737 C1748 C5224 C5230 C5232 C5238 C5240 C5246 C5248 C5281:C5282 C5275:C5276 C5294:C5295 C5300:C5301 C6108 C6110 C6115:C6116" name="COTACOES_8_1_1"/>
    <protectedRange sqref="C1713:C1715 C4783:C4784 C4790:C4791 C4797:C4798 C4804:C4805 C4847:C4848 C4860:C4861 C4866 C4870:C4871 C4876:C4877 C4890:C4891 C4935:C4936 C5447 C5451 C5455 C5459 C1736 C1724:C1726 C1747 C5223 C5231 C5239 C5247 C6109" name="COTACOES_9_1_1_3"/>
    <protectedRange sqref="C1699" name="COTACOES_10_1_1"/>
    <protectedRange sqref="C1773" name="COTACOES_42_1_3"/>
    <protectedRange sqref="C1787" name="COTACOES_42_1_1_1"/>
    <protectedRange sqref="C1801" name="COTACOES_42_1_2_1"/>
    <protectedRange sqref="F1759" name="COTACOES_27_1_1_3_1"/>
    <protectedRange sqref="F1766" name="COTACOES_27_1_1_4_1"/>
    <protectedRange sqref="C1825" name="COTACOES_37_1_1"/>
    <protectedRange sqref="C1831" name="COTACOES_82_1_1"/>
    <protectedRange sqref="C1844" name="COTACOES_58_1_1"/>
    <protectedRange sqref="C1850" name="COTACOES_61_1_1"/>
    <protectedRange sqref="C1856" name="COTACOES_40_1_1"/>
    <protectedRange sqref="C1862" name="COTACOES_36_1_2"/>
    <protectedRange sqref="C1898" name="COTACOES_41_1_2"/>
    <protectedRange sqref="C1874 C1892" name="COTACOES_41_1_1_1"/>
    <protectedRange sqref="C1868" name="COTACOES_36_1_1_1"/>
    <protectedRange sqref="C1880 C1886" name="COTACOES_44_1_1"/>
    <protectedRange sqref="C1904" name="COTACOES_51_1_1"/>
    <protectedRange sqref="F1904" name="COTACOES_54_1_1"/>
    <protectedRange sqref="C1910 C2397 C3040:C3041 C3187 C3181 C3164 C3217 C3171:C3173 C2730 C2745 C2765" name="COTACOES_55_1_3"/>
    <protectedRange sqref="F1910" name="COTACOES_57_1_1"/>
    <protectedRange sqref="C1952" name="COTACOES_75_1_2"/>
    <protectedRange sqref="C1958" name="COTACOES_75_1_1_1"/>
    <protectedRange sqref="C1988 C1980" name="COTACOES_78_1_1"/>
    <protectedRange sqref="C1971" name="COTACOES_80_1_2"/>
    <protectedRange sqref="C1964" name="COTACOES_80_1_1_1"/>
    <protectedRange sqref="C2328" name="COTACOES_62_1_1"/>
    <protectedRange sqref="C2389" name="COTACOES_4_1_1"/>
    <protectedRange sqref="C834:C835" name="COTACOES_92_4_3"/>
    <protectedRange sqref="C785" name="COTACOES_92_2_7"/>
    <protectedRange sqref="C3310" name="COTACOES_92_2_3_2"/>
    <protectedRange sqref="C3313" name="COTACOES_55_1_1_3"/>
    <protectedRange sqref="C3318" name="COTACOES_92_2_5_1"/>
    <protectedRange sqref="C3324" name="COTACOES_55_1_2_1"/>
    <protectedRange sqref="C3608:C3610" name="COTACOES_55_1_1_1_1"/>
    <protectedRange sqref="C3628:C3630 C3643" name="COTACOES_55_1_1_2_1"/>
    <protectedRange sqref="C3634" name="COTACOES_92_1_2_1"/>
    <protectedRange sqref="C3710 C3704 C3641:C3642 C3644 C3636:C3639" name="COTACOES_55_1_1_4_1"/>
    <protectedRange sqref="C3739 C3748" name="COTACOES_92_12_1"/>
    <protectedRange sqref="C3742:C3743 C3751:C3752" name="COTACOES_55_1_5_1"/>
    <protectedRange sqref="C3756" name="COTACOES_92_14_1"/>
    <protectedRange sqref="C3758:C3760" name="COTACOES_55_1_6_1"/>
    <protectedRange sqref="C3768:C3778" name="COTACOES_92_15_1"/>
    <protectedRange sqref="C3831" name="COTACOES_9_1_1_1_1"/>
    <protectedRange sqref="C3840:C3842" name="COTACOES_9_1_1_2_1"/>
    <protectedRange sqref="C3872" name="COTACOES_92_16_1"/>
    <protectedRange sqref="C3875:C3876" name="COTACOES_55_1_7_2"/>
    <protectedRange sqref="C3885" name="COTACOES_92_17_2"/>
    <protectedRange sqref="C3891:C3893" name="COTACOES_55_1_8_1"/>
    <protectedRange sqref="C3857 C4035 C4068 C4075 C4082 C4100" name="COTACOES_55_1_7_1_2"/>
    <protectedRange sqref="C3911 C3920 C3929 C3938 C3947 C3956" name="COTACOES_92_17_1_1"/>
    <protectedRange sqref="C3977" name="COTACOES_55_1_7_1_1_1"/>
    <protectedRange sqref="C2437 C2649 C2441 C2445 C2457 C2461 C2465 C2469 C2473 C2477 C2481 C2485 C2489 C2493 C2497 C2501 C2505 C2509 C2513 C2517 C2521 C2525 C2529 C2533 C2537 C2541 C2545 C2549 C2553 C2653 C2449 C2453" name="COTACOES_92_3_2"/>
    <protectedRange sqref="C2557 C2561 C2565 C2585 C2577 C2579:C2580 C2587:C2588 C2593 C2595:C2596 C2601 C2605 C2609 C2613 C2621 C2625 C2629 C2633 C2641 C2617 C2645" name="COTACOES_92_5_2"/>
    <protectedRange sqref="C3994 C3984:C3986 C3990:C3991" name="COTACOES_55_1_7_1_1_1_1"/>
    <protectedRange sqref="C4246" name="COTACOES_92_17_1_1_1"/>
    <protectedRange sqref="C2657:C2659 C2663:C2665 C2669:C2671 C2675:C2677 C2681:C2683 C2687:C2689 C2699:C2701 C2705:C2707 C2711:C2713 C2693:C2695" name="COTACOES_92_3_2_1"/>
    <protectedRange sqref="C4228" name="COTACOES_92_17_1_1_1_1"/>
    <protectedRange sqref="C388" name="COTACOES_92_3_1_1_1"/>
    <protectedRange sqref="C409" name="COTACOES_92_3_1_1_2"/>
    <protectedRange sqref="C418" name="COTACOES_92_3_1_1_3"/>
    <protectedRange sqref="C797" name="COTACOES_92_3_1_1_4"/>
    <protectedRange sqref="C808" name="COTACOES_92_3_1_1_5"/>
    <protectedRange sqref="C2573" name="COTACOES_92_5_2_1"/>
    <protectedRange sqref="C4101" name="COTACOES_92_5_2_2"/>
  </protectedRanges>
  <autoFilter ref="A5:J6118" xr:uid="{00000000-0009-0000-0000-000000000000}">
    <filterColumn colId="9">
      <customFilters>
        <customFilter operator="notEqual" val="0"/>
      </customFilters>
    </filterColumn>
  </autoFilter>
  <mergeCells count="1866">
    <mergeCell ref="A6072:A6076"/>
    <mergeCell ref="B6072:B6076"/>
    <mergeCell ref="A6077:A6090"/>
    <mergeCell ref="B6077:B6090"/>
    <mergeCell ref="A6091:A6105"/>
    <mergeCell ref="B6091:B6105"/>
    <mergeCell ref="A6106:A6112"/>
    <mergeCell ref="B6106:B6112"/>
    <mergeCell ref="A6113:A6118"/>
    <mergeCell ref="B6113:B6118"/>
    <mergeCell ref="A5976:A5986"/>
    <mergeCell ref="B5976:B5986"/>
    <mergeCell ref="A5987:A5992"/>
    <mergeCell ref="B5987:B5992"/>
    <mergeCell ref="A5993:A6000"/>
    <mergeCell ref="B5993:B6000"/>
    <mergeCell ref="A6001:A6008"/>
    <mergeCell ref="B6001:B6008"/>
    <mergeCell ref="A6009:A6017"/>
    <mergeCell ref="B6009:B6017"/>
    <mergeCell ref="A6018:A6028"/>
    <mergeCell ref="B6018:B6028"/>
    <mergeCell ref="A6029:A6052"/>
    <mergeCell ref="B6029:B6052"/>
    <mergeCell ref="A6053:A6062"/>
    <mergeCell ref="B6053:B6062"/>
    <mergeCell ref="A6063:A6071"/>
    <mergeCell ref="B6063:B6071"/>
    <mergeCell ref="A5321:A5324"/>
    <mergeCell ref="B5321:B5324"/>
    <mergeCell ref="A5961:A5966"/>
    <mergeCell ref="B5961:B5966"/>
    <mergeCell ref="A5967:A5975"/>
    <mergeCell ref="B5967:B5975"/>
    <mergeCell ref="A5445:A5448"/>
    <mergeCell ref="B5445:B5448"/>
    <mergeCell ref="A5449:A5452"/>
    <mergeCell ref="B5449:B5452"/>
    <mergeCell ref="A5453:A5456"/>
    <mergeCell ref="B5453:B5456"/>
    <mergeCell ref="A5457:A5460"/>
    <mergeCell ref="B5457:B5460"/>
    <mergeCell ref="A5473:A5476"/>
    <mergeCell ref="B5473:B5476"/>
    <mergeCell ref="A5477:A5480"/>
    <mergeCell ref="B5477:B5480"/>
    <mergeCell ref="A5481:A5484"/>
    <mergeCell ref="B5481:B5484"/>
    <mergeCell ref="A5485:A5488"/>
    <mergeCell ref="B5485:B5488"/>
    <mergeCell ref="A5489:A5492"/>
    <mergeCell ref="B5489:B5492"/>
    <mergeCell ref="A5493:A5496"/>
    <mergeCell ref="B5493:B5496"/>
    <mergeCell ref="A5497:A5500"/>
    <mergeCell ref="B5497:B5500"/>
    <mergeCell ref="A5501:A5504"/>
    <mergeCell ref="B5501:B5504"/>
    <mergeCell ref="A5505:A5508"/>
    <mergeCell ref="B5505:B5508"/>
    <mergeCell ref="A5138:A5143"/>
    <mergeCell ref="B5138:B5143"/>
    <mergeCell ref="A5175:A5181"/>
    <mergeCell ref="B5175:B5181"/>
    <mergeCell ref="A5182:A5188"/>
    <mergeCell ref="B5182:B5188"/>
    <mergeCell ref="A5189:A5194"/>
    <mergeCell ref="B5189:B5194"/>
    <mergeCell ref="A5195:A5200"/>
    <mergeCell ref="B5195:B5200"/>
    <mergeCell ref="A5201:A5207"/>
    <mergeCell ref="B5201:B5207"/>
    <mergeCell ref="A5208:A5213"/>
    <mergeCell ref="B5208:B5213"/>
    <mergeCell ref="A5214:A5219"/>
    <mergeCell ref="B5214:B5219"/>
    <mergeCell ref="A5220:A5227"/>
    <mergeCell ref="B5220:B5227"/>
    <mergeCell ref="A5150:A5155"/>
    <mergeCell ref="B5150:B5155"/>
    <mergeCell ref="A5144:A5149"/>
    <mergeCell ref="B5144:B5149"/>
    <mergeCell ref="A5156:A5161"/>
    <mergeCell ref="B5156:B5161"/>
    <mergeCell ref="A5162:A5167"/>
    <mergeCell ref="B5162:B5167"/>
    <mergeCell ref="A5168:A5174"/>
    <mergeCell ref="B5168:B5174"/>
    <mergeCell ref="A5080:A5085"/>
    <mergeCell ref="B5080:B5085"/>
    <mergeCell ref="A5086:A5092"/>
    <mergeCell ref="B5086:B5092"/>
    <mergeCell ref="A5093:A5104"/>
    <mergeCell ref="B5093:B5104"/>
    <mergeCell ref="A5113:A5118"/>
    <mergeCell ref="B5113:B5118"/>
    <mergeCell ref="A5119:A5125"/>
    <mergeCell ref="B5119:B5125"/>
    <mergeCell ref="A5016:A5023"/>
    <mergeCell ref="B5016:B5023"/>
    <mergeCell ref="A5024:A5031"/>
    <mergeCell ref="B5024:B5031"/>
    <mergeCell ref="A5032:A5039"/>
    <mergeCell ref="B5032:B5039"/>
    <mergeCell ref="A5040:A5049"/>
    <mergeCell ref="B5040:B5049"/>
    <mergeCell ref="A5050:A5059"/>
    <mergeCell ref="B5050:B5059"/>
    <mergeCell ref="A5060:A5066"/>
    <mergeCell ref="B5060:B5066"/>
    <mergeCell ref="A5067:A5073"/>
    <mergeCell ref="B5067:B5073"/>
    <mergeCell ref="A5074:A5079"/>
    <mergeCell ref="B5074:B5079"/>
    <mergeCell ref="A5105:A5112"/>
    <mergeCell ref="B5105:B5112"/>
    <mergeCell ref="A4980:A4987"/>
    <mergeCell ref="B4980:B4987"/>
    <mergeCell ref="A4988:A4995"/>
    <mergeCell ref="B4988:B4995"/>
    <mergeCell ref="A4996:A5001"/>
    <mergeCell ref="B4996:B5001"/>
    <mergeCell ref="A5002:A5009"/>
    <mergeCell ref="B5002:B5009"/>
    <mergeCell ref="A5010:A5015"/>
    <mergeCell ref="B5010:B5015"/>
    <mergeCell ref="B135:B138"/>
    <mergeCell ref="A183:A189"/>
    <mergeCell ref="B183:B189"/>
    <mergeCell ref="A190:A196"/>
    <mergeCell ref="B190:B196"/>
    <mergeCell ref="A197:A200"/>
    <mergeCell ref="B197:B200"/>
    <mergeCell ref="A214:A218"/>
    <mergeCell ref="B214:B218"/>
    <mergeCell ref="A219:A223"/>
    <mergeCell ref="B219:B223"/>
    <mergeCell ref="A224:A227"/>
    <mergeCell ref="B224:B227"/>
    <mergeCell ref="A201:A204"/>
    <mergeCell ref="B201:B204"/>
    <mergeCell ref="A205:A209"/>
    <mergeCell ref="B161:B165"/>
    <mergeCell ref="A166:A170"/>
    <mergeCell ref="B166:B170"/>
    <mergeCell ref="A236:A239"/>
    <mergeCell ref="B236:B239"/>
    <mergeCell ref="A268:A275"/>
    <mergeCell ref="A97:A101"/>
    <mergeCell ref="B97:B101"/>
    <mergeCell ref="A102:A105"/>
    <mergeCell ref="B102:B105"/>
    <mergeCell ref="A106:A110"/>
    <mergeCell ref="B106:B110"/>
    <mergeCell ref="B69:B76"/>
    <mergeCell ref="A77:A81"/>
    <mergeCell ref="B77:B81"/>
    <mergeCell ref="A87:A91"/>
    <mergeCell ref="B87:B91"/>
    <mergeCell ref="A92:A96"/>
    <mergeCell ref="B92:B96"/>
    <mergeCell ref="A4958:A4963"/>
    <mergeCell ref="B4958:B4963"/>
    <mergeCell ref="A4964:A4971"/>
    <mergeCell ref="B4964:B4971"/>
    <mergeCell ref="A139:A143"/>
    <mergeCell ref="B139:B143"/>
    <mergeCell ref="A144:A148"/>
    <mergeCell ref="B144:B148"/>
    <mergeCell ref="A149:A153"/>
    <mergeCell ref="B149:B153"/>
    <mergeCell ref="A171:A174"/>
    <mergeCell ref="B171:B174"/>
    <mergeCell ref="A175:A178"/>
    <mergeCell ref="B175:B178"/>
    <mergeCell ref="A179:A182"/>
    <mergeCell ref="B179:B182"/>
    <mergeCell ref="A154:A160"/>
    <mergeCell ref="B154:B160"/>
    <mergeCell ref="A161:A165"/>
    <mergeCell ref="A6:A9"/>
    <mergeCell ref="B6:B9"/>
    <mergeCell ref="A10:A13"/>
    <mergeCell ref="B10:B13"/>
    <mergeCell ref="A14:A17"/>
    <mergeCell ref="B14:B17"/>
    <mergeCell ref="A47:A51"/>
    <mergeCell ref="B47:B51"/>
    <mergeCell ref="A52:A58"/>
    <mergeCell ref="B52:B58"/>
    <mergeCell ref="A59:A63"/>
    <mergeCell ref="B59:B63"/>
    <mergeCell ref="A33:A36"/>
    <mergeCell ref="B33:B36"/>
    <mergeCell ref="A37:A41"/>
    <mergeCell ref="A82:A86"/>
    <mergeCell ref="B82:B86"/>
    <mergeCell ref="A64:A68"/>
    <mergeCell ref="B64:B68"/>
    <mergeCell ref="A69:A76"/>
    <mergeCell ref="B37:B41"/>
    <mergeCell ref="A42:A46"/>
    <mergeCell ref="B42:B46"/>
    <mergeCell ref="A18:A22"/>
    <mergeCell ref="B18:B22"/>
    <mergeCell ref="A23:A27"/>
    <mergeCell ref="B23:B27"/>
    <mergeCell ref="A28:A32"/>
    <mergeCell ref="B28:B32"/>
    <mergeCell ref="A126:A130"/>
    <mergeCell ref="B126:B130"/>
    <mergeCell ref="A131:A134"/>
    <mergeCell ref="B131:B134"/>
    <mergeCell ref="A135:A138"/>
    <mergeCell ref="A111:A115"/>
    <mergeCell ref="B111:B115"/>
    <mergeCell ref="A116:A120"/>
    <mergeCell ref="B116:B120"/>
    <mergeCell ref="A121:A125"/>
    <mergeCell ref="B121:B125"/>
    <mergeCell ref="B205:B209"/>
    <mergeCell ref="A210:A213"/>
    <mergeCell ref="B210:B213"/>
    <mergeCell ref="A228:A231"/>
    <mergeCell ref="B228:B231"/>
    <mergeCell ref="A232:A235"/>
    <mergeCell ref="B232:B235"/>
    <mergeCell ref="B268:B275"/>
    <mergeCell ref="A276:A282"/>
    <mergeCell ref="B276:B282"/>
    <mergeCell ref="A283:A289"/>
    <mergeCell ref="B283:B289"/>
    <mergeCell ref="A240:A247"/>
    <mergeCell ref="B240:B247"/>
    <mergeCell ref="A248:A262"/>
    <mergeCell ref="B248:B262"/>
    <mergeCell ref="A263:A267"/>
    <mergeCell ref="B263:B267"/>
    <mergeCell ref="A290:A304"/>
    <mergeCell ref="B290:B304"/>
    <mergeCell ref="A305:A319"/>
    <mergeCell ref="B305:B319"/>
    <mergeCell ref="A320:A325"/>
    <mergeCell ref="B320:B325"/>
    <mergeCell ref="A365:A370"/>
    <mergeCell ref="B365:B370"/>
    <mergeCell ref="A371:A379"/>
    <mergeCell ref="B371:B379"/>
    <mergeCell ref="A380:A393"/>
    <mergeCell ref="B380:B393"/>
    <mergeCell ref="A326:A340"/>
    <mergeCell ref="B326:B340"/>
    <mergeCell ref="A341:A350"/>
    <mergeCell ref="B341:B350"/>
    <mergeCell ref="A351:A364"/>
    <mergeCell ref="B351:B364"/>
    <mergeCell ref="A394:A400"/>
    <mergeCell ref="B394:B400"/>
    <mergeCell ref="A401:A414"/>
    <mergeCell ref="B401:B414"/>
    <mergeCell ref="A415:A421"/>
    <mergeCell ref="B415:B421"/>
    <mergeCell ref="A606:A614"/>
    <mergeCell ref="B606:B614"/>
    <mergeCell ref="A561:A568"/>
    <mergeCell ref="B561:B568"/>
    <mergeCell ref="A569:A578"/>
    <mergeCell ref="B569:B578"/>
    <mergeCell ref="A446:A453"/>
    <mergeCell ref="B446:B453"/>
    <mergeCell ref="A454:A463"/>
    <mergeCell ref="B454:B463"/>
    <mergeCell ref="A464:A470"/>
    <mergeCell ref="B464:B470"/>
    <mergeCell ref="A422:A433"/>
    <mergeCell ref="B422:B433"/>
    <mergeCell ref="A434:A439"/>
    <mergeCell ref="B434:B439"/>
    <mergeCell ref="A440:A445"/>
    <mergeCell ref="B440:B445"/>
    <mergeCell ref="A471:A482"/>
    <mergeCell ref="B471:B482"/>
    <mergeCell ref="A483:A488"/>
    <mergeCell ref="B483:B488"/>
    <mergeCell ref="A489:A496"/>
    <mergeCell ref="B489:B496"/>
    <mergeCell ref="A637:A643"/>
    <mergeCell ref="B637:B643"/>
    <mergeCell ref="A644:A647"/>
    <mergeCell ref="B644:B647"/>
    <mergeCell ref="A648:A651"/>
    <mergeCell ref="B648:B651"/>
    <mergeCell ref="A517:A523"/>
    <mergeCell ref="B517:B523"/>
    <mergeCell ref="A524:A530"/>
    <mergeCell ref="B524:B530"/>
    <mergeCell ref="A531:A536"/>
    <mergeCell ref="B531:B536"/>
    <mergeCell ref="A497:A503"/>
    <mergeCell ref="B497:B503"/>
    <mergeCell ref="A504:A510"/>
    <mergeCell ref="B504:B510"/>
    <mergeCell ref="A511:A516"/>
    <mergeCell ref="B511:B516"/>
    <mergeCell ref="A615:A620"/>
    <mergeCell ref="B615:B620"/>
    <mergeCell ref="A621:A628"/>
    <mergeCell ref="B621:B628"/>
    <mergeCell ref="A537:A544"/>
    <mergeCell ref="B537:B544"/>
    <mergeCell ref="A545:A552"/>
    <mergeCell ref="B545:B552"/>
    <mergeCell ref="A553:A560"/>
    <mergeCell ref="B553:B560"/>
    <mergeCell ref="A588:A595"/>
    <mergeCell ref="B588:B595"/>
    <mergeCell ref="A596:A605"/>
    <mergeCell ref="B596:B605"/>
    <mergeCell ref="A736:A743"/>
    <mergeCell ref="B736:B743"/>
    <mergeCell ref="A744:A747"/>
    <mergeCell ref="B744:B747"/>
    <mergeCell ref="A748:A754"/>
    <mergeCell ref="B748:B754"/>
    <mergeCell ref="A579:A587"/>
    <mergeCell ref="B579:B587"/>
    <mergeCell ref="A723:A729"/>
    <mergeCell ref="B723:B729"/>
    <mergeCell ref="A730:A735"/>
    <mergeCell ref="B730:B735"/>
    <mergeCell ref="A686:A695"/>
    <mergeCell ref="B686:B695"/>
    <mergeCell ref="A696:A703"/>
    <mergeCell ref="B696:B703"/>
    <mergeCell ref="A704:A713"/>
    <mergeCell ref="B704:B713"/>
    <mergeCell ref="A664:A667"/>
    <mergeCell ref="B664:B667"/>
    <mergeCell ref="A668:A675"/>
    <mergeCell ref="B668:B675"/>
    <mergeCell ref="A676:A685"/>
    <mergeCell ref="B676:B685"/>
    <mergeCell ref="A629:A636"/>
    <mergeCell ref="B629:B636"/>
    <mergeCell ref="A652:A655"/>
    <mergeCell ref="B652:B655"/>
    <mergeCell ref="A656:A659"/>
    <mergeCell ref="B656:B659"/>
    <mergeCell ref="A660:A663"/>
    <mergeCell ref="B660:B663"/>
    <mergeCell ref="A714:A722"/>
    <mergeCell ref="B714:B722"/>
    <mergeCell ref="A845:A849"/>
    <mergeCell ref="B845:B849"/>
    <mergeCell ref="A850:A855"/>
    <mergeCell ref="B850:B855"/>
    <mergeCell ref="A856:A861"/>
    <mergeCell ref="B856:B861"/>
    <mergeCell ref="A827:A831"/>
    <mergeCell ref="B827:B831"/>
    <mergeCell ref="A832:A838"/>
    <mergeCell ref="B832:B838"/>
    <mergeCell ref="A839:A844"/>
    <mergeCell ref="B839:B844"/>
    <mergeCell ref="A814:A817"/>
    <mergeCell ref="B814:B817"/>
    <mergeCell ref="A818:A822"/>
    <mergeCell ref="B818:B822"/>
    <mergeCell ref="A823:A826"/>
    <mergeCell ref="B823:B826"/>
    <mergeCell ref="A783:A789"/>
    <mergeCell ref="B783:B789"/>
    <mergeCell ref="A790:A803"/>
    <mergeCell ref="B790:B803"/>
    <mergeCell ref="A804:A813"/>
    <mergeCell ref="B804:B813"/>
    <mergeCell ref="A755:A765"/>
    <mergeCell ref="B755:B765"/>
    <mergeCell ref="A766:A771"/>
    <mergeCell ref="B766:B771"/>
    <mergeCell ref="A772:A782"/>
    <mergeCell ref="B772:B782"/>
    <mergeCell ref="A899:A902"/>
    <mergeCell ref="B899:B902"/>
    <mergeCell ref="A903:A908"/>
    <mergeCell ref="B903:B908"/>
    <mergeCell ref="A909:A917"/>
    <mergeCell ref="B909:B917"/>
    <mergeCell ref="A881:A886"/>
    <mergeCell ref="B881:B886"/>
    <mergeCell ref="A887:A891"/>
    <mergeCell ref="B887:B891"/>
    <mergeCell ref="A892:A898"/>
    <mergeCell ref="B892:B898"/>
    <mergeCell ref="A862:A866"/>
    <mergeCell ref="B862:B866"/>
    <mergeCell ref="A867:A874"/>
    <mergeCell ref="B867:B874"/>
    <mergeCell ref="A875:A880"/>
    <mergeCell ref="B875:B880"/>
    <mergeCell ref="A962:A968"/>
    <mergeCell ref="B962:B968"/>
    <mergeCell ref="A969:A975"/>
    <mergeCell ref="B969:B975"/>
    <mergeCell ref="A976:A986"/>
    <mergeCell ref="B976:B986"/>
    <mergeCell ref="A943:A948"/>
    <mergeCell ref="B943:B948"/>
    <mergeCell ref="A949:A954"/>
    <mergeCell ref="B949:B954"/>
    <mergeCell ref="A955:A961"/>
    <mergeCell ref="B955:B961"/>
    <mergeCell ref="A918:A924"/>
    <mergeCell ref="B918:B924"/>
    <mergeCell ref="A925:A933"/>
    <mergeCell ref="B925:B933"/>
    <mergeCell ref="A934:A942"/>
    <mergeCell ref="B934:B942"/>
    <mergeCell ref="A1032:A1040"/>
    <mergeCell ref="B1032:B1040"/>
    <mergeCell ref="A1041:A1047"/>
    <mergeCell ref="B1041:B1047"/>
    <mergeCell ref="A1048:A1054"/>
    <mergeCell ref="B1048:B1054"/>
    <mergeCell ref="A1008:A1016"/>
    <mergeCell ref="B1008:B1016"/>
    <mergeCell ref="A1017:A1021"/>
    <mergeCell ref="B1017:B1021"/>
    <mergeCell ref="A1022:A1031"/>
    <mergeCell ref="B1022:B1031"/>
    <mergeCell ref="A987:A997"/>
    <mergeCell ref="B987:B997"/>
    <mergeCell ref="A998:A1002"/>
    <mergeCell ref="B998:B1002"/>
    <mergeCell ref="A1003:A1007"/>
    <mergeCell ref="B1003:B1007"/>
    <mergeCell ref="A1104:A1111"/>
    <mergeCell ref="B1104:B1111"/>
    <mergeCell ref="A1112:A1116"/>
    <mergeCell ref="B1112:B1116"/>
    <mergeCell ref="A1117:A1121"/>
    <mergeCell ref="B1117:B1121"/>
    <mergeCell ref="A1078:A1085"/>
    <mergeCell ref="B1078:B1085"/>
    <mergeCell ref="A1086:A1093"/>
    <mergeCell ref="B1086:B1093"/>
    <mergeCell ref="A1094:A1103"/>
    <mergeCell ref="B1094:B1103"/>
    <mergeCell ref="A1055:A1061"/>
    <mergeCell ref="B1055:B1061"/>
    <mergeCell ref="A1062:A1068"/>
    <mergeCell ref="B1062:B1068"/>
    <mergeCell ref="A1069:A1077"/>
    <mergeCell ref="B1069:B1077"/>
    <mergeCell ref="A1161:A1167"/>
    <mergeCell ref="B1161:B1167"/>
    <mergeCell ref="A1168:A1174"/>
    <mergeCell ref="B1168:B1174"/>
    <mergeCell ref="A1175:A1181"/>
    <mergeCell ref="B1175:B1181"/>
    <mergeCell ref="A1140:A1146"/>
    <mergeCell ref="B1140:B1146"/>
    <mergeCell ref="A1147:A1153"/>
    <mergeCell ref="B1147:B1153"/>
    <mergeCell ref="A1154:A1160"/>
    <mergeCell ref="B1154:B1160"/>
    <mergeCell ref="A1122:A1127"/>
    <mergeCell ref="B1122:B1127"/>
    <mergeCell ref="A1128:A1132"/>
    <mergeCell ref="B1128:B1132"/>
    <mergeCell ref="A1133:A1139"/>
    <mergeCell ref="B1133:B1139"/>
    <mergeCell ref="A1224:A1230"/>
    <mergeCell ref="B1224:B1230"/>
    <mergeCell ref="A1231:A1237"/>
    <mergeCell ref="B1231:B1237"/>
    <mergeCell ref="A1238:A1244"/>
    <mergeCell ref="B1238:B1244"/>
    <mergeCell ref="A1203:A1209"/>
    <mergeCell ref="B1203:B1209"/>
    <mergeCell ref="A1210:A1216"/>
    <mergeCell ref="B1210:B1216"/>
    <mergeCell ref="A1217:A1223"/>
    <mergeCell ref="B1217:B1223"/>
    <mergeCell ref="A1182:A1188"/>
    <mergeCell ref="B1182:B1188"/>
    <mergeCell ref="A1189:A1195"/>
    <mergeCell ref="B1189:B1195"/>
    <mergeCell ref="A1196:A1202"/>
    <mergeCell ref="B1196:B1202"/>
    <mergeCell ref="A1286:A1292"/>
    <mergeCell ref="B1286:B1292"/>
    <mergeCell ref="A1293:A1299"/>
    <mergeCell ref="B1293:B1299"/>
    <mergeCell ref="A1300:A1307"/>
    <mergeCell ref="B1300:B1307"/>
    <mergeCell ref="A1266:A1271"/>
    <mergeCell ref="B1266:B1271"/>
    <mergeCell ref="A1272:A1278"/>
    <mergeCell ref="B1272:B1278"/>
    <mergeCell ref="A1279:A1285"/>
    <mergeCell ref="B1279:B1285"/>
    <mergeCell ref="A1245:A1251"/>
    <mergeCell ref="B1245:B1251"/>
    <mergeCell ref="A1252:A1258"/>
    <mergeCell ref="B1252:B1258"/>
    <mergeCell ref="A1259:A1265"/>
    <mergeCell ref="B1259:B1265"/>
    <mergeCell ref="A1347:A1352"/>
    <mergeCell ref="B1347:B1352"/>
    <mergeCell ref="A1353:A1359"/>
    <mergeCell ref="B1353:B1359"/>
    <mergeCell ref="A1360:A1365"/>
    <mergeCell ref="B1360:B1365"/>
    <mergeCell ref="A1328:A1333"/>
    <mergeCell ref="B1328:B1333"/>
    <mergeCell ref="A1334:A1339"/>
    <mergeCell ref="B1334:B1339"/>
    <mergeCell ref="A1340:A1346"/>
    <mergeCell ref="B1340:B1346"/>
    <mergeCell ref="A1308:A1316"/>
    <mergeCell ref="B1308:B1316"/>
    <mergeCell ref="A1317:A1321"/>
    <mergeCell ref="B1317:B1321"/>
    <mergeCell ref="A1322:A1327"/>
    <mergeCell ref="B1322:B1327"/>
    <mergeCell ref="A1403:A1417"/>
    <mergeCell ref="B1403:B1417"/>
    <mergeCell ref="A1418:A1432"/>
    <mergeCell ref="B1418:B1432"/>
    <mergeCell ref="A1433:A1447"/>
    <mergeCell ref="B1433:B1447"/>
    <mergeCell ref="A1384:A1389"/>
    <mergeCell ref="B1384:B1389"/>
    <mergeCell ref="A1390:A1395"/>
    <mergeCell ref="B1390:B1395"/>
    <mergeCell ref="A1396:A1402"/>
    <mergeCell ref="B1396:B1402"/>
    <mergeCell ref="A1366:A1371"/>
    <mergeCell ref="B1366:B1371"/>
    <mergeCell ref="A1372:A1377"/>
    <mergeCell ref="B1372:B1377"/>
    <mergeCell ref="A1378:A1383"/>
    <mergeCell ref="B1378:B1383"/>
    <mergeCell ref="A1524:A1531"/>
    <mergeCell ref="B1524:B1531"/>
    <mergeCell ref="A1532:A1539"/>
    <mergeCell ref="B1532:B1539"/>
    <mergeCell ref="A1540:A1547"/>
    <mergeCell ref="B1540:B1547"/>
    <mergeCell ref="A1493:A1507"/>
    <mergeCell ref="B1493:B1507"/>
    <mergeCell ref="A1508:A1515"/>
    <mergeCell ref="B1508:B1515"/>
    <mergeCell ref="A1516:A1523"/>
    <mergeCell ref="B1516:B1523"/>
    <mergeCell ref="A1448:A1462"/>
    <mergeCell ref="B1448:B1462"/>
    <mergeCell ref="A1463:A1477"/>
    <mergeCell ref="B1463:B1477"/>
    <mergeCell ref="A1478:A1492"/>
    <mergeCell ref="B1478:B1492"/>
    <mergeCell ref="A1597:A1602"/>
    <mergeCell ref="B1597:B1602"/>
    <mergeCell ref="A1603:A1608"/>
    <mergeCell ref="B1603:B1608"/>
    <mergeCell ref="A1609:A1615"/>
    <mergeCell ref="B1609:B1615"/>
    <mergeCell ref="A1569:A1575"/>
    <mergeCell ref="B1569:B1575"/>
    <mergeCell ref="A1576:A1590"/>
    <mergeCell ref="B1576:B1590"/>
    <mergeCell ref="A1591:A1596"/>
    <mergeCell ref="B1591:B1596"/>
    <mergeCell ref="A1548:A1554"/>
    <mergeCell ref="B1548:B1554"/>
    <mergeCell ref="A1555:A1561"/>
    <mergeCell ref="B1555:B1561"/>
    <mergeCell ref="A1562:A1568"/>
    <mergeCell ref="B1562:B1568"/>
    <mergeCell ref="A1650:A1655"/>
    <mergeCell ref="B1650:B1655"/>
    <mergeCell ref="A1656:A1661"/>
    <mergeCell ref="B1656:B1661"/>
    <mergeCell ref="A1662:A1666"/>
    <mergeCell ref="B1662:B1666"/>
    <mergeCell ref="A1633:A1637"/>
    <mergeCell ref="B1633:B1637"/>
    <mergeCell ref="A1638:A1643"/>
    <mergeCell ref="B1638:B1643"/>
    <mergeCell ref="A1644:A1649"/>
    <mergeCell ref="B1644:B1649"/>
    <mergeCell ref="A1616:A1620"/>
    <mergeCell ref="B1616:B1620"/>
    <mergeCell ref="A1621:A1626"/>
    <mergeCell ref="B1621:B1626"/>
    <mergeCell ref="A1627:A1632"/>
    <mergeCell ref="B1627:B1632"/>
    <mergeCell ref="A1703:A1710"/>
    <mergeCell ref="B1703:B1710"/>
    <mergeCell ref="A1711:A1721"/>
    <mergeCell ref="B1711:B1721"/>
    <mergeCell ref="A1722:A1732"/>
    <mergeCell ref="B1722:B1732"/>
    <mergeCell ref="A1683:A1689"/>
    <mergeCell ref="B1683:B1689"/>
    <mergeCell ref="A1690:A1696"/>
    <mergeCell ref="B1690:B1696"/>
    <mergeCell ref="A1697:A1702"/>
    <mergeCell ref="B1697:B1702"/>
    <mergeCell ref="A1667:A1671"/>
    <mergeCell ref="B1667:B1671"/>
    <mergeCell ref="A1672:A1676"/>
    <mergeCell ref="B1672:B1676"/>
    <mergeCell ref="A1677:A1682"/>
    <mergeCell ref="B1677:B1682"/>
    <mergeCell ref="A1783:A1789"/>
    <mergeCell ref="B1783:B1789"/>
    <mergeCell ref="A1790:A1796"/>
    <mergeCell ref="B1790:B1796"/>
    <mergeCell ref="A1797:A1803"/>
    <mergeCell ref="B1797:B1803"/>
    <mergeCell ref="A1762:A1768"/>
    <mergeCell ref="B1762:B1768"/>
    <mergeCell ref="A1769:A1775"/>
    <mergeCell ref="B1769:B1775"/>
    <mergeCell ref="A1776:A1782"/>
    <mergeCell ref="B1776:B1782"/>
    <mergeCell ref="A1733:A1743"/>
    <mergeCell ref="B1733:B1743"/>
    <mergeCell ref="A1744:A1754"/>
    <mergeCell ref="B1744:B1754"/>
    <mergeCell ref="A1755:A1761"/>
    <mergeCell ref="B1755:B1761"/>
    <mergeCell ref="A1840:A1845"/>
    <mergeCell ref="B1840:B1845"/>
    <mergeCell ref="A1846:A1851"/>
    <mergeCell ref="B1846:B1851"/>
    <mergeCell ref="A1852:A1857"/>
    <mergeCell ref="B1852:B1857"/>
    <mergeCell ref="A1821:A1826"/>
    <mergeCell ref="B1821:B1826"/>
    <mergeCell ref="A1827:A1832"/>
    <mergeCell ref="B1827:B1832"/>
    <mergeCell ref="A1833:A1839"/>
    <mergeCell ref="B1833:B1839"/>
    <mergeCell ref="A1804:A1810"/>
    <mergeCell ref="B1804:B1810"/>
    <mergeCell ref="A1811:A1815"/>
    <mergeCell ref="B1811:B1815"/>
    <mergeCell ref="A1816:A1820"/>
    <mergeCell ref="B1816:B1820"/>
    <mergeCell ref="A1894:A1899"/>
    <mergeCell ref="B1894:B1899"/>
    <mergeCell ref="A1900:A1905"/>
    <mergeCell ref="B1900:B1905"/>
    <mergeCell ref="A1906:A1911"/>
    <mergeCell ref="B1906:B1911"/>
    <mergeCell ref="A1876:A1881"/>
    <mergeCell ref="B1876:B1881"/>
    <mergeCell ref="A1882:A1887"/>
    <mergeCell ref="B1882:B1887"/>
    <mergeCell ref="A1888:A1893"/>
    <mergeCell ref="B1888:B1893"/>
    <mergeCell ref="A1858:A1863"/>
    <mergeCell ref="B1858:B1863"/>
    <mergeCell ref="A1864:A1869"/>
    <mergeCell ref="B1864:B1869"/>
    <mergeCell ref="A1870:A1875"/>
    <mergeCell ref="B1870:B1875"/>
    <mergeCell ref="A1943:A1947"/>
    <mergeCell ref="B1943:B1947"/>
    <mergeCell ref="A1948:A1953"/>
    <mergeCell ref="B1948:B1953"/>
    <mergeCell ref="A1954:A1959"/>
    <mergeCell ref="B1954:B1959"/>
    <mergeCell ref="A1927:A1932"/>
    <mergeCell ref="B1927:B1932"/>
    <mergeCell ref="A1933:A1937"/>
    <mergeCell ref="B1933:B1937"/>
    <mergeCell ref="A1938:A1942"/>
    <mergeCell ref="B1938:B1942"/>
    <mergeCell ref="A1912:A1916"/>
    <mergeCell ref="B1912:B1916"/>
    <mergeCell ref="A1917:A1921"/>
    <mergeCell ref="B1917:B1921"/>
    <mergeCell ref="A1922:A1926"/>
    <mergeCell ref="B1922:B1926"/>
    <mergeCell ref="A2004:A2010"/>
    <mergeCell ref="B2004:B2010"/>
    <mergeCell ref="A2011:A2017"/>
    <mergeCell ref="B2011:B2017"/>
    <mergeCell ref="A2018:A2023"/>
    <mergeCell ref="B2018:B2023"/>
    <mergeCell ref="A1982:A1989"/>
    <mergeCell ref="B1982:B1989"/>
    <mergeCell ref="A1990:A1996"/>
    <mergeCell ref="B1990:B1996"/>
    <mergeCell ref="A1997:A2003"/>
    <mergeCell ref="B1997:B2003"/>
    <mergeCell ref="A1960:A1966"/>
    <mergeCell ref="B1960:B1966"/>
    <mergeCell ref="A1967:A1973"/>
    <mergeCell ref="B1967:B1973"/>
    <mergeCell ref="A1974:A1981"/>
    <mergeCell ref="B1974:B1981"/>
    <mergeCell ref="A2072:A2079"/>
    <mergeCell ref="B2072:B2079"/>
    <mergeCell ref="A2080:A2087"/>
    <mergeCell ref="B2080:B2087"/>
    <mergeCell ref="A2088:A2095"/>
    <mergeCell ref="B2088:B2095"/>
    <mergeCell ref="A2048:A2055"/>
    <mergeCell ref="B2048:B2055"/>
    <mergeCell ref="A2056:A2063"/>
    <mergeCell ref="B2056:B2063"/>
    <mergeCell ref="A2064:A2071"/>
    <mergeCell ref="B2064:B2071"/>
    <mergeCell ref="A2024:A2031"/>
    <mergeCell ref="B2024:B2031"/>
    <mergeCell ref="A2032:A2039"/>
    <mergeCell ref="B2032:B2039"/>
    <mergeCell ref="A2040:A2047"/>
    <mergeCell ref="B2040:B2047"/>
    <mergeCell ref="A2136:A2141"/>
    <mergeCell ref="B2136:B2141"/>
    <mergeCell ref="A2142:A2149"/>
    <mergeCell ref="B2142:B2149"/>
    <mergeCell ref="A2150:A2157"/>
    <mergeCell ref="B2150:B2157"/>
    <mergeCell ref="A2118:A2123"/>
    <mergeCell ref="B2118:B2123"/>
    <mergeCell ref="A2124:A2129"/>
    <mergeCell ref="B2124:B2129"/>
    <mergeCell ref="A2130:A2135"/>
    <mergeCell ref="B2130:B2135"/>
    <mergeCell ref="A2096:A2103"/>
    <mergeCell ref="B2096:B2103"/>
    <mergeCell ref="A2104:A2111"/>
    <mergeCell ref="B2104:B2111"/>
    <mergeCell ref="A2112:A2117"/>
    <mergeCell ref="B2112:B2117"/>
    <mergeCell ref="A2206:A2210"/>
    <mergeCell ref="B2206:B2210"/>
    <mergeCell ref="A2211:A2217"/>
    <mergeCell ref="B2211:B2217"/>
    <mergeCell ref="A2218:A2223"/>
    <mergeCell ref="B2218:B2223"/>
    <mergeCell ref="A2182:A2189"/>
    <mergeCell ref="B2182:B2189"/>
    <mergeCell ref="A2190:A2197"/>
    <mergeCell ref="B2190:B2197"/>
    <mergeCell ref="A2198:A2205"/>
    <mergeCell ref="B2198:B2205"/>
    <mergeCell ref="A2158:A2165"/>
    <mergeCell ref="B2158:B2165"/>
    <mergeCell ref="A2166:A2173"/>
    <mergeCell ref="B2166:B2173"/>
    <mergeCell ref="A2174:A2181"/>
    <mergeCell ref="B2174:B2181"/>
    <mergeCell ref="A2276:A2285"/>
    <mergeCell ref="B2276:B2285"/>
    <mergeCell ref="A2286:A2295"/>
    <mergeCell ref="B2286:B2295"/>
    <mergeCell ref="A2296:A2305"/>
    <mergeCell ref="B2296:B2305"/>
    <mergeCell ref="A2250:A2255"/>
    <mergeCell ref="B2250:B2255"/>
    <mergeCell ref="A2256:A2265"/>
    <mergeCell ref="B2256:B2265"/>
    <mergeCell ref="A2266:A2275"/>
    <mergeCell ref="B2266:B2275"/>
    <mergeCell ref="A2224:A2229"/>
    <mergeCell ref="B2224:B2229"/>
    <mergeCell ref="A2230:A2235"/>
    <mergeCell ref="B2230:B2235"/>
    <mergeCell ref="A2236:A2249"/>
    <mergeCell ref="B2236:B2249"/>
    <mergeCell ref="A2344:A2348"/>
    <mergeCell ref="B2344:B2348"/>
    <mergeCell ref="A2349:A2353"/>
    <mergeCell ref="B2349:B2353"/>
    <mergeCell ref="A2354:A2358"/>
    <mergeCell ref="B2354:B2358"/>
    <mergeCell ref="A2326:A2331"/>
    <mergeCell ref="B2326:B2331"/>
    <mergeCell ref="A2332:A2337"/>
    <mergeCell ref="B2332:B2337"/>
    <mergeCell ref="A2338:A2343"/>
    <mergeCell ref="B2338:B2343"/>
    <mergeCell ref="A2306:A2312"/>
    <mergeCell ref="B2306:B2312"/>
    <mergeCell ref="A2313:A2319"/>
    <mergeCell ref="B2313:B2319"/>
    <mergeCell ref="A2320:A2325"/>
    <mergeCell ref="B2320:B2325"/>
    <mergeCell ref="A2380:A2385"/>
    <mergeCell ref="B2380:B2385"/>
    <mergeCell ref="A2386:A2392"/>
    <mergeCell ref="B2386:B2392"/>
    <mergeCell ref="A2393:A2398"/>
    <mergeCell ref="B2393:B2398"/>
    <mergeCell ref="A2359:A2364"/>
    <mergeCell ref="B2359:B2364"/>
    <mergeCell ref="A2365:A2372"/>
    <mergeCell ref="B2365:B2372"/>
    <mergeCell ref="A2373:A2379"/>
    <mergeCell ref="B2373:B2379"/>
    <mergeCell ref="A2399:A2402"/>
    <mergeCell ref="B2399:B2402"/>
    <mergeCell ref="A2403:A2406"/>
    <mergeCell ref="B2403:B2406"/>
    <mergeCell ref="A2407:A2410"/>
    <mergeCell ref="B2407:B2410"/>
    <mergeCell ref="A2435:A2438"/>
    <mergeCell ref="B2435:B2438"/>
    <mergeCell ref="A2555:A2558"/>
    <mergeCell ref="B2555:B2558"/>
    <mergeCell ref="A2411:A2414"/>
    <mergeCell ref="B2411:B2414"/>
    <mergeCell ref="A2415:A2418"/>
    <mergeCell ref="B2415:B2418"/>
    <mergeCell ref="A2419:A2422"/>
    <mergeCell ref="B2419:B2422"/>
    <mergeCell ref="A2423:A2426"/>
    <mergeCell ref="B2423:B2426"/>
    <mergeCell ref="A2427:A2430"/>
    <mergeCell ref="B2427:B2430"/>
    <mergeCell ref="A2431:A2434"/>
    <mergeCell ref="B2431:B2434"/>
    <mergeCell ref="A2439:A2442"/>
    <mergeCell ref="B2439:B2442"/>
    <mergeCell ref="A2483:A2486"/>
    <mergeCell ref="B2483:B2486"/>
    <mergeCell ref="A2539:A2542"/>
    <mergeCell ref="B2539:B2542"/>
    <mergeCell ref="A2543:A2546"/>
    <mergeCell ref="B2543:B2546"/>
    <mergeCell ref="A2447:A2450"/>
    <mergeCell ref="B2447:B2450"/>
    <mergeCell ref="A2451:A2454"/>
    <mergeCell ref="B2451:B2454"/>
    <mergeCell ref="A2615:A2618"/>
    <mergeCell ref="B2615:B2618"/>
    <mergeCell ref="A2591:A2598"/>
    <mergeCell ref="B2591:B2598"/>
    <mergeCell ref="A2599:A2602"/>
    <mergeCell ref="B2599:B2602"/>
    <mergeCell ref="A2603:A2606"/>
    <mergeCell ref="B2603:B2606"/>
    <mergeCell ref="A2571:A2574"/>
    <mergeCell ref="B2571:B2574"/>
    <mergeCell ref="A2575:A2582"/>
    <mergeCell ref="B2575:B2582"/>
    <mergeCell ref="A2583:A2590"/>
    <mergeCell ref="B2583:B2590"/>
    <mergeCell ref="A2559:A2562"/>
    <mergeCell ref="B2559:B2562"/>
    <mergeCell ref="A2563:A2566"/>
    <mergeCell ref="B2563:B2566"/>
    <mergeCell ref="A2567:A2570"/>
    <mergeCell ref="B2567:B2570"/>
    <mergeCell ref="A2685:A2690"/>
    <mergeCell ref="B2685:B2690"/>
    <mergeCell ref="A2691:A2696"/>
    <mergeCell ref="B2691:B2696"/>
    <mergeCell ref="A2697:A2702"/>
    <mergeCell ref="B2697:B2702"/>
    <mergeCell ref="A2667:A2672"/>
    <mergeCell ref="B2667:B2672"/>
    <mergeCell ref="A2673:A2678"/>
    <mergeCell ref="B2673:B2678"/>
    <mergeCell ref="A2679:A2684"/>
    <mergeCell ref="B2679:B2684"/>
    <mergeCell ref="A2647:A2650"/>
    <mergeCell ref="B2647:B2650"/>
    <mergeCell ref="A2655:A2660"/>
    <mergeCell ref="B2655:B2660"/>
    <mergeCell ref="A2661:A2666"/>
    <mergeCell ref="B2661:B2666"/>
    <mergeCell ref="A2651:A2654"/>
    <mergeCell ref="B2651:B2654"/>
    <mergeCell ref="A2768:A2772"/>
    <mergeCell ref="B2768:B2772"/>
    <mergeCell ref="A2773:A2777"/>
    <mergeCell ref="B2773:B2777"/>
    <mergeCell ref="A2778:A2782"/>
    <mergeCell ref="B2778:B2782"/>
    <mergeCell ref="A2732:A2741"/>
    <mergeCell ref="B2732:B2741"/>
    <mergeCell ref="A2742:A2747"/>
    <mergeCell ref="B2742:B2747"/>
    <mergeCell ref="A2758:A2767"/>
    <mergeCell ref="B2758:B2767"/>
    <mergeCell ref="A2748:A2752"/>
    <mergeCell ref="B2748:B2752"/>
    <mergeCell ref="A2753:A2757"/>
    <mergeCell ref="B2753:B2757"/>
    <mergeCell ref="A2703:A2708"/>
    <mergeCell ref="B2703:B2708"/>
    <mergeCell ref="A2709:A2714"/>
    <mergeCell ref="B2709:B2714"/>
    <mergeCell ref="A2727:A2731"/>
    <mergeCell ref="B2727:B2731"/>
    <mergeCell ref="A2719:A2722"/>
    <mergeCell ref="B2719:B2722"/>
    <mergeCell ref="A2815:A2819"/>
    <mergeCell ref="B2815:B2819"/>
    <mergeCell ref="A2820:A2824"/>
    <mergeCell ref="B2820:B2824"/>
    <mergeCell ref="A2825:A2829"/>
    <mergeCell ref="B2825:B2829"/>
    <mergeCell ref="A2800:A2804"/>
    <mergeCell ref="B2800:B2804"/>
    <mergeCell ref="A2805:A2809"/>
    <mergeCell ref="B2805:B2809"/>
    <mergeCell ref="A2810:A2814"/>
    <mergeCell ref="B2810:B2814"/>
    <mergeCell ref="A2783:A2789"/>
    <mergeCell ref="B2783:B2789"/>
    <mergeCell ref="A2790:A2794"/>
    <mergeCell ref="B2790:B2794"/>
    <mergeCell ref="A2795:A2799"/>
    <mergeCell ref="B2795:B2799"/>
    <mergeCell ref="A2868:A2875"/>
    <mergeCell ref="B2868:B2875"/>
    <mergeCell ref="A2876:A2883"/>
    <mergeCell ref="B2876:B2883"/>
    <mergeCell ref="A2884:A2891"/>
    <mergeCell ref="B2884:B2891"/>
    <mergeCell ref="A2847:A2851"/>
    <mergeCell ref="B2847:B2851"/>
    <mergeCell ref="A2852:A2859"/>
    <mergeCell ref="B2852:B2859"/>
    <mergeCell ref="A2860:A2867"/>
    <mergeCell ref="B2860:B2867"/>
    <mergeCell ref="A2830:A2836"/>
    <mergeCell ref="B2830:B2836"/>
    <mergeCell ref="A2837:A2841"/>
    <mergeCell ref="B2837:B2841"/>
    <mergeCell ref="A2842:A2846"/>
    <mergeCell ref="B2842:B2846"/>
    <mergeCell ref="A2922:A2926"/>
    <mergeCell ref="B2922:B2926"/>
    <mergeCell ref="A2927:A2931"/>
    <mergeCell ref="B2927:B2931"/>
    <mergeCell ref="A2932:A2936"/>
    <mergeCell ref="B2932:B2936"/>
    <mergeCell ref="A2907:A2911"/>
    <mergeCell ref="B2907:B2911"/>
    <mergeCell ref="A2912:A2916"/>
    <mergeCell ref="B2912:B2916"/>
    <mergeCell ref="A2917:A2921"/>
    <mergeCell ref="B2917:B2921"/>
    <mergeCell ref="A2892:A2896"/>
    <mergeCell ref="B2892:B2896"/>
    <mergeCell ref="A2897:A2901"/>
    <mergeCell ref="B2897:B2901"/>
    <mergeCell ref="A2902:A2906"/>
    <mergeCell ref="B2902:B2906"/>
    <mergeCell ref="A2972:A2976"/>
    <mergeCell ref="B2972:B2976"/>
    <mergeCell ref="A2977:A2981"/>
    <mergeCell ref="B2977:B2981"/>
    <mergeCell ref="A2982:A2986"/>
    <mergeCell ref="B2982:B2986"/>
    <mergeCell ref="A2957:A2961"/>
    <mergeCell ref="B2957:B2961"/>
    <mergeCell ref="A2962:A2966"/>
    <mergeCell ref="B2962:B2966"/>
    <mergeCell ref="A2967:A2971"/>
    <mergeCell ref="B2967:B2971"/>
    <mergeCell ref="A2937:A2941"/>
    <mergeCell ref="B2937:B2941"/>
    <mergeCell ref="A2942:A2951"/>
    <mergeCell ref="B2942:B2951"/>
    <mergeCell ref="A2952:A2956"/>
    <mergeCell ref="B2952:B2956"/>
    <mergeCell ref="A3022:A3029"/>
    <mergeCell ref="B3022:B3029"/>
    <mergeCell ref="A3030:A3034"/>
    <mergeCell ref="B3030:B3034"/>
    <mergeCell ref="A3035:A3042"/>
    <mergeCell ref="B3035:B3042"/>
    <mergeCell ref="A3005:A3009"/>
    <mergeCell ref="B3005:B3009"/>
    <mergeCell ref="A3010:A3017"/>
    <mergeCell ref="B3010:B3017"/>
    <mergeCell ref="A3018:A3021"/>
    <mergeCell ref="B3018:B3021"/>
    <mergeCell ref="A2987:A2991"/>
    <mergeCell ref="B2987:B2991"/>
    <mergeCell ref="A2992:A2996"/>
    <mergeCell ref="B2992:B2996"/>
    <mergeCell ref="A2997:A3004"/>
    <mergeCell ref="B2997:B3004"/>
    <mergeCell ref="A3073:A3077"/>
    <mergeCell ref="B3073:B3077"/>
    <mergeCell ref="A3078:A3082"/>
    <mergeCell ref="B3078:B3082"/>
    <mergeCell ref="A3083:A3087"/>
    <mergeCell ref="B3083:B3087"/>
    <mergeCell ref="A3058:A3062"/>
    <mergeCell ref="B3058:B3062"/>
    <mergeCell ref="A3063:A3067"/>
    <mergeCell ref="B3063:B3067"/>
    <mergeCell ref="A3068:A3072"/>
    <mergeCell ref="B3068:B3072"/>
    <mergeCell ref="A3043:A3047"/>
    <mergeCell ref="B3043:B3047"/>
    <mergeCell ref="A3048:A3052"/>
    <mergeCell ref="B3048:B3052"/>
    <mergeCell ref="A3053:A3057"/>
    <mergeCell ref="B3053:B3057"/>
    <mergeCell ref="A3123:A3127"/>
    <mergeCell ref="B3123:B3127"/>
    <mergeCell ref="A3128:A3133"/>
    <mergeCell ref="B3128:B3133"/>
    <mergeCell ref="A3134:A3141"/>
    <mergeCell ref="B3134:B3141"/>
    <mergeCell ref="A3106:A3111"/>
    <mergeCell ref="B3106:B3111"/>
    <mergeCell ref="A3112:A3116"/>
    <mergeCell ref="B3112:B3116"/>
    <mergeCell ref="A3117:A3122"/>
    <mergeCell ref="B3117:B3122"/>
    <mergeCell ref="A3088:A3093"/>
    <mergeCell ref="B3088:B3093"/>
    <mergeCell ref="A3094:A3099"/>
    <mergeCell ref="B3094:B3099"/>
    <mergeCell ref="A3100:A3105"/>
    <mergeCell ref="B3100:B3105"/>
    <mergeCell ref="A3185:A3190"/>
    <mergeCell ref="B3185:B3190"/>
    <mergeCell ref="A3191:A3196"/>
    <mergeCell ref="B3191:B3196"/>
    <mergeCell ref="A3197:A3206"/>
    <mergeCell ref="B3197:B3206"/>
    <mergeCell ref="A3159:A3165"/>
    <mergeCell ref="B3159:B3165"/>
    <mergeCell ref="A3166:A3178"/>
    <mergeCell ref="B3166:B3178"/>
    <mergeCell ref="A3179:A3184"/>
    <mergeCell ref="B3179:B3184"/>
    <mergeCell ref="A3142:A3149"/>
    <mergeCell ref="B3142:B3149"/>
    <mergeCell ref="A3150:A3154"/>
    <mergeCell ref="B3150:B3154"/>
    <mergeCell ref="A3155:A3158"/>
    <mergeCell ref="B3155:B3158"/>
    <mergeCell ref="A3247:A3253"/>
    <mergeCell ref="B3247:B3253"/>
    <mergeCell ref="A3254:A3260"/>
    <mergeCell ref="B3254:B3260"/>
    <mergeCell ref="A3261:A3267"/>
    <mergeCell ref="B3261:B3267"/>
    <mergeCell ref="A3226:A3232"/>
    <mergeCell ref="B3226:B3232"/>
    <mergeCell ref="A3233:A3239"/>
    <mergeCell ref="B3233:B3239"/>
    <mergeCell ref="A3240:A3246"/>
    <mergeCell ref="B3240:B3246"/>
    <mergeCell ref="A3207:A3211"/>
    <mergeCell ref="B3207:B3211"/>
    <mergeCell ref="A3212:A3218"/>
    <mergeCell ref="B3212:B3218"/>
    <mergeCell ref="A3219:A3225"/>
    <mergeCell ref="B3219:B3225"/>
    <mergeCell ref="A3308:A3314"/>
    <mergeCell ref="B3308:B3314"/>
    <mergeCell ref="A3315:A3321"/>
    <mergeCell ref="B3315:B3321"/>
    <mergeCell ref="A3322:A3328"/>
    <mergeCell ref="B3322:B3328"/>
    <mergeCell ref="A3288:A3293"/>
    <mergeCell ref="B3288:B3293"/>
    <mergeCell ref="A3294:A3302"/>
    <mergeCell ref="B3294:B3302"/>
    <mergeCell ref="A3303:A3307"/>
    <mergeCell ref="B3303:B3307"/>
    <mergeCell ref="A3268:A3274"/>
    <mergeCell ref="B3268:B3274"/>
    <mergeCell ref="A3275:A3281"/>
    <mergeCell ref="B3275:B3281"/>
    <mergeCell ref="A3282:A3287"/>
    <mergeCell ref="B3282:B3287"/>
    <mergeCell ref="A3357:A3363"/>
    <mergeCell ref="B3357:B3363"/>
    <mergeCell ref="A3364:A3370"/>
    <mergeCell ref="B3364:B3370"/>
    <mergeCell ref="A3371:A3375"/>
    <mergeCell ref="B3371:B3375"/>
    <mergeCell ref="A3342:A3345"/>
    <mergeCell ref="B3342:B3345"/>
    <mergeCell ref="A3346:A3349"/>
    <mergeCell ref="B3346:B3349"/>
    <mergeCell ref="A3350:A3356"/>
    <mergeCell ref="B3350:B3356"/>
    <mergeCell ref="A3329:A3332"/>
    <mergeCell ref="B3329:B3332"/>
    <mergeCell ref="A3333:A3336"/>
    <mergeCell ref="B3333:B3336"/>
    <mergeCell ref="A3337:A3341"/>
    <mergeCell ref="B3337:B3341"/>
    <mergeCell ref="A3415:A3422"/>
    <mergeCell ref="B3415:B3422"/>
    <mergeCell ref="A3423:A3439"/>
    <mergeCell ref="B3423:B3439"/>
    <mergeCell ref="A3440:A3447"/>
    <mergeCell ref="B3440:B3447"/>
    <mergeCell ref="A3390:A3393"/>
    <mergeCell ref="B3390:B3393"/>
    <mergeCell ref="A3394:A3403"/>
    <mergeCell ref="B3394:B3403"/>
    <mergeCell ref="A3404:A3414"/>
    <mergeCell ref="B3404:B3414"/>
    <mergeCell ref="A3376:A3380"/>
    <mergeCell ref="B3376:B3380"/>
    <mergeCell ref="A3381:A3385"/>
    <mergeCell ref="B3381:B3385"/>
    <mergeCell ref="A3386:A3389"/>
    <mergeCell ref="B3386:B3389"/>
    <mergeCell ref="A3512:A3519"/>
    <mergeCell ref="B3512:B3519"/>
    <mergeCell ref="A3520:A3526"/>
    <mergeCell ref="B3520:B3526"/>
    <mergeCell ref="A3527:A3531"/>
    <mergeCell ref="B3527:B3531"/>
    <mergeCell ref="A3484:A3499"/>
    <mergeCell ref="B3484:B3499"/>
    <mergeCell ref="A3500:A3505"/>
    <mergeCell ref="B3500:B3505"/>
    <mergeCell ref="A3506:A3511"/>
    <mergeCell ref="B3506:B3511"/>
    <mergeCell ref="A3448:A3464"/>
    <mergeCell ref="B3448:B3464"/>
    <mergeCell ref="A3465:A3476"/>
    <mergeCell ref="B3465:B3476"/>
    <mergeCell ref="A3477:A3483"/>
    <mergeCell ref="B3477:B3483"/>
    <mergeCell ref="A3574:A3578"/>
    <mergeCell ref="B3574:B3578"/>
    <mergeCell ref="A3579:A3586"/>
    <mergeCell ref="B3579:B3586"/>
    <mergeCell ref="A3587:A3590"/>
    <mergeCell ref="B3587:B3590"/>
    <mergeCell ref="A3553:A3558"/>
    <mergeCell ref="B3553:B3558"/>
    <mergeCell ref="A3559:A3568"/>
    <mergeCell ref="B3559:B3568"/>
    <mergeCell ref="A3569:A3573"/>
    <mergeCell ref="B3569:B3573"/>
    <mergeCell ref="A3532:A3539"/>
    <mergeCell ref="B3532:B3539"/>
    <mergeCell ref="A3540:A3545"/>
    <mergeCell ref="B3540:B3545"/>
    <mergeCell ref="A3546:A3552"/>
    <mergeCell ref="B3546:B3552"/>
    <mergeCell ref="A3656:A3659"/>
    <mergeCell ref="B3656:B3659"/>
    <mergeCell ref="A3660:A3669"/>
    <mergeCell ref="B3660:B3669"/>
    <mergeCell ref="A3670:A3674"/>
    <mergeCell ref="B3670:B3674"/>
    <mergeCell ref="A3620:A3631"/>
    <mergeCell ref="B3620:B3631"/>
    <mergeCell ref="A3632:A3644"/>
    <mergeCell ref="B3632:B3644"/>
    <mergeCell ref="A3645:A3655"/>
    <mergeCell ref="B3645:B3655"/>
    <mergeCell ref="A3591:A3596"/>
    <mergeCell ref="B3591:B3596"/>
    <mergeCell ref="A3597:A3611"/>
    <mergeCell ref="B3597:B3611"/>
    <mergeCell ref="A3612:A3619"/>
    <mergeCell ref="B3612:B3619"/>
    <mergeCell ref="A3711:A3715"/>
    <mergeCell ref="B3711:B3715"/>
    <mergeCell ref="A3716:A3726"/>
    <mergeCell ref="B3716:B3726"/>
    <mergeCell ref="A3727:A3736"/>
    <mergeCell ref="B3727:B3736"/>
    <mergeCell ref="A3697:A3700"/>
    <mergeCell ref="B3697:B3700"/>
    <mergeCell ref="A3701:A3704"/>
    <mergeCell ref="B3701:B3704"/>
    <mergeCell ref="A3705:A3710"/>
    <mergeCell ref="B3705:B3710"/>
    <mergeCell ref="A3675:A3683"/>
    <mergeCell ref="B3675:B3683"/>
    <mergeCell ref="A3684:A3692"/>
    <mergeCell ref="B3684:B3692"/>
    <mergeCell ref="A3693:A3696"/>
    <mergeCell ref="B3693:B3696"/>
    <mergeCell ref="A3804:A3809"/>
    <mergeCell ref="B3804:B3809"/>
    <mergeCell ref="A3810:A3815"/>
    <mergeCell ref="B3810:B3815"/>
    <mergeCell ref="A3816:A3821"/>
    <mergeCell ref="B3816:B3821"/>
    <mergeCell ref="A3766:A3780"/>
    <mergeCell ref="B3766:B3780"/>
    <mergeCell ref="A3781:A3787"/>
    <mergeCell ref="B3781:B3787"/>
    <mergeCell ref="A3788:A3803"/>
    <mergeCell ref="B3788:B3803"/>
    <mergeCell ref="A3737:A3745"/>
    <mergeCell ref="B3737:B3745"/>
    <mergeCell ref="A3746:A3753"/>
    <mergeCell ref="B3746:B3753"/>
    <mergeCell ref="A3754:A3765"/>
    <mergeCell ref="B3754:B3765"/>
    <mergeCell ref="A3870:A3882"/>
    <mergeCell ref="B3870:B3882"/>
    <mergeCell ref="A3883:A3895"/>
    <mergeCell ref="B3883:B3895"/>
    <mergeCell ref="A3896:A3900"/>
    <mergeCell ref="B3896:B3900"/>
    <mergeCell ref="A3845:A3854"/>
    <mergeCell ref="B3845:B3854"/>
    <mergeCell ref="A3855:A3861"/>
    <mergeCell ref="B3855:B3861"/>
    <mergeCell ref="A3862:A3869"/>
    <mergeCell ref="B3862:B3869"/>
    <mergeCell ref="A3822:A3828"/>
    <mergeCell ref="B3822:B3828"/>
    <mergeCell ref="A3829:A3837"/>
    <mergeCell ref="B3829:B3837"/>
    <mergeCell ref="A3838:A3844"/>
    <mergeCell ref="B3838:B3844"/>
    <mergeCell ref="A3945:A3953"/>
    <mergeCell ref="B3945:B3953"/>
    <mergeCell ref="A3954:A3962"/>
    <mergeCell ref="B3954:B3962"/>
    <mergeCell ref="A3963:A3968"/>
    <mergeCell ref="B3963:B3968"/>
    <mergeCell ref="A3918:A3926"/>
    <mergeCell ref="B3918:B3926"/>
    <mergeCell ref="A3927:A3935"/>
    <mergeCell ref="B3927:B3935"/>
    <mergeCell ref="A3936:A3944"/>
    <mergeCell ref="B3936:B3944"/>
    <mergeCell ref="A3901:A3904"/>
    <mergeCell ref="B3901:B3904"/>
    <mergeCell ref="A3905:A3908"/>
    <mergeCell ref="B3905:B3908"/>
    <mergeCell ref="A3909:A3917"/>
    <mergeCell ref="B3909:B3917"/>
    <mergeCell ref="A4007:A4014"/>
    <mergeCell ref="B4007:B4014"/>
    <mergeCell ref="A4015:A4022"/>
    <mergeCell ref="B4015:B4022"/>
    <mergeCell ref="A4023:A4032"/>
    <mergeCell ref="B4023:B4032"/>
    <mergeCell ref="A3988:A3991"/>
    <mergeCell ref="B3988:B3991"/>
    <mergeCell ref="A3992:A3998"/>
    <mergeCell ref="B3992:B3998"/>
    <mergeCell ref="A3999:A4006"/>
    <mergeCell ref="B3999:B4006"/>
    <mergeCell ref="A3969:A3974"/>
    <mergeCell ref="B3969:B3974"/>
    <mergeCell ref="A3975:A3981"/>
    <mergeCell ref="B3975:B3981"/>
    <mergeCell ref="A3982:A3987"/>
    <mergeCell ref="B3982:B3987"/>
    <mergeCell ref="A4080:A4085"/>
    <mergeCell ref="B4080:B4085"/>
    <mergeCell ref="A4086:A4091"/>
    <mergeCell ref="B4086:B4091"/>
    <mergeCell ref="A4092:A4097"/>
    <mergeCell ref="B4092:B4097"/>
    <mergeCell ref="A4062:A4065"/>
    <mergeCell ref="B4062:B4065"/>
    <mergeCell ref="A4066:A4072"/>
    <mergeCell ref="B4066:B4072"/>
    <mergeCell ref="A4073:A4079"/>
    <mergeCell ref="B4073:B4079"/>
    <mergeCell ref="A4033:A4039"/>
    <mergeCell ref="B4033:B4039"/>
    <mergeCell ref="A4040:A4050"/>
    <mergeCell ref="B4040:B4050"/>
    <mergeCell ref="A4051:A4061"/>
    <mergeCell ref="B4051:B4061"/>
    <mergeCell ref="A4157:A4165"/>
    <mergeCell ref="B4157:B4165"/>
    <mergeCell ref="A4166:A4181"/>
    <mergeCell ref="B4166:B4181"/>
    <mergeCell ref="A4182:A4208"/>
    <mergeCell ref="B4182:B4208"/>
    <mergeCell ref="A4135:A4141"/>
    <mergeCell ref="B4135:B4141"/>
    <mergeCell ref="A4142:A4146"/>
    <mergeCell ref="B4142:B4146"/>
    <mergeCell ref="A4147:A4156"/>
    <mergeCell ref="B4147:B4156"/>
    <mergeCell ref="A4122:A4127"/>
    <mergeCell ref="B4122:B4127"/>
    <mergeCell ref="A4128:A4134"/>
    <mergeCell ref="B4128:B4134"/>
    <mergeCell ref="A4098:A4107"/>
    <mergeCell ref="B4098:B4107"/>
    <mergeCell ref="A4108:A4113"/>
    <mergeCell ref="B4108:B4113"/>
    <mergeCell ref="A4114:A4121"/>
    <mergeCell ref="B4114:B4121"/>
    <mergeCell ref="A4262:A4271"/>
    <mergeCell ref="B4262:B4271"/>
    <mergeCell ref="A4272:A4279"/>
    <mergeCell ref="B4272:B4279"/>
    <mergeCell ref="A4280:A4287"/>
    <mergeCell ref="B4280:B4287"/>
    <mergeCell ref="A4235:A4243"/>
    <mergeCell ref="B4235:B4243"/>
    <mergeCell ref="A4244:A4252"/>
    <mergeCell ref="B4244:B4252"/>
    <mergeCell ref="A4253:A4261"/>
    <mergeCell ref="B4253:B4261"/>
    <mergeCell ref="A4209:A4215"/>
    <mergeCell ref="B4209:B4215"/>
    <mergeCell ref="A4216:A4225"/>
    <mergeCell ref="B4216:B4225"/>
    <mergeCell ref="A4226:A4234"/>
    <mergeCell ref="B4226:B4234"/>
    <mergeCell ref="A4350:A4355"/>
    <mergeCell ref="B4350:B4355"/>
    <mergeCell ref="A4356:A4375"/>
    <mergeCell ref="B4356:B4375"/>
    <mergeCell ref="A4376:A4383"/>
    <mergeCell ref="B4376:B4383"/>
    <mergeCell ref="A4318:A4325"/>
    <mergeCell ref="B4318:B4325"/>
    <mergeCell ref="A4326:A4337"/>
    <mergeCell ref="B4326:B4337"/>
    <mergeCell ref="A4338:A4349"/>
    <mergeCell ref="B4338:B4349"/>
    <mergeCell ref="A4288:A4297"/>
    <mergeCell ref="B4288:B4297"/>
    <mergeCell ref="A4298:A4307"/>
    <mergeCell ref="B4298:B4307"/>
    <mergeCell ref="A4308:A4317"/>
    <mergeCell ref="B4308:B4317"/>
    <mergeCell ref="A4422:A4426"/>
    <mergeCell ref="B4422:B4426"/>
    <mergeCell ref="A4427:A4432"/>
    <mergeCell ref="B4427:B4432"/>
    <mergeCell ref="A4433:A4444"/>
    <mergeCell ref="B4433:B4444"/>
    <mergeCell ref="A4403:A4407"/>
    <mergeCell ref="B4403:B4407"/>
    <mergeCell ref="A4408:A4413"/>
    <mergeCell ref="B4408:B4413"/>
    <mergeCell ref="A4414:A4421"/>
    <mergeCell ref="B4414:B4421"/>
    <mergeCell ref="A4384:A4391"/>
    <mergeCell ref="B4384:B4391"/>
    <mergeCell ref="A4392:A4397"/>
    <mergeCell ref="B4392:B4397"/>
    <mergeCell ref="A4398:A4402"/>
    <mergeCell ref="B4398:B4402"/>
    <mergeCell ref="A4507:A4518"/>
    <mergeCell ref="B4507:B4518"/>
    <mergeCell ref="A4519:A4526"/>
    <mergeCell ref="B4519:B4526"/>
    <mergeCell ref="A4527:A4532"/>
    <mergeCell ref="B4527:B4532"/>
    <mergeCell ref="A4484:A4492"/>
    <mergeCell ref="B4484:B4492"/>
    <mergeCell ref="A4493:A4500"/>
    <mergeCell ref="B4493:B4500"/>
    <mergeCell ref="A4501:A4506"/>
    <mergeCell ref="B4501:B4506"/>
    <mergeCell ref="A4445:A4456"/>
    <mergeCell ref="B4445:B4456"/>
    <mergeCell ref="A4457:A4475"/>
    <mergeCell ref="B4457:B4475"/>
    <mergeCell ref="A4476:A4483"/>
    <mergeCell ref="B4476:B4483"/>
    <mergeCell ref="A4582:A4593"/>
    <mergeCell ref="B4582:B4593"/>
    <mergeCell ref="A4594:A4599"/>
    <mergeCell ref="B4594:B4599"/>
    <mergeCell ref="A4600:A4607"/>
    <mergeCell ref="B4600:B4607"/>
    <mergeCell ref="A4559:A4564"/>
    <mergeCell ref="B4559:B4564"/>
    <mergeCell ref="A4565:A4572"/>
    <mergeCell ref="B4565:B4572"/>
    <mergeCell ref="A4573:A4581"/>
    <mergeCell ref="B4573:B4581"/>
    <mergeCell ref="A4533:A4540"/>
    <mergeCell ref="B4533:B4540"/>
    <mergeCell ref="A4541:A4548"/>
    <mergeCell ref="B4541:B4548"/>
    <mergeCell ref="A4549:A4558"/>
    <mergeCell ref="B4549:B4558"/>
    <mergeCell ref="A4624:A4633"/>
    <mergeCell ref="B4624:B4633"/>
    <mergeCell ref="A4634:A4643"/>
    <mergeCell ref="B4634:B4643"/>
    <mergeCell ref="A4644:A4648"/>
    <mergeCell ref="B4644:B4648"/>
    <mergeCell ref="A4649:A4653"/>
    <mergeCell ref="B4649:B4653"/>
    <mergeCell ref="A4654:A4658"/>
    <mergeCell ref="B4654:B4658"/>
    <mergeCell ref="A4667:A4674"/>
    <mergeCell ref="B4667:B4674"/>
    <mergeCell ref="A4675:A4682"/>
    <mergeCell ref="B4675:B4682"/>
    <mergeCell ref="A4683:A4690"/>
    <mergeCell ref="B4683:B4690"/>
    <mergeCell ref="A4608:A4618"/>
    <mergeCell ref="B4608:B4618"/>
    <mergeCell ref="A4619:A4623"/>
    <mergeCell ref="B4619:B4623"/>
    <mergeCell ref="A4691:A4698"/>
    <mergeCell ref="B4691:B4698"/>
    <mergeCell ref="A4699:A4706"/>
    <mergeCell ref="B4699:B4706"/>
    <mergeCell ref="A4707:A4714"/>
    <mergeCell ref="B4707:B4714"/>
    <mergeCell ref="A4715:A4722"/>
    <mergeCell ref="B4715:B4722"/>
    <mergeCell ref="A4659:A4666"/>
    <mergeCell ref="B4659:B4666"/>
    <mergeCell ref="A4723:A4732"/>
    <mergeCell ref="B4723:B4732"/>
    <mergeCell ref="A4733:A4740"/>
    <mergeCell ref="B4733:B4740"/>
    <mergeCell ref="A4741:A4747"/>
    <mergeCell ref="B4741:B4747"/>
    <mergeCell ref="A4748:A4754"/>
    <mergeCell ref="B4748:B4754"/>
    <mergeCell ref="A4755:A4761"/>
    <mergeCell ref="B4755:B4761"/>
    <mergeCell ref="A4762:A4768"/>
    <mergeCell ref="B4762:B4768"/>
    <mergeCell ref="A4769:A4775"/>
    <mergeCell ref="B4769:B4775"/>
    <mergeCell ref="A4776:A4780"/>
    <mergeCell ref="B4776:B4780"/>
    <mergeCell ref="A4781:A4787"/>
    <mergeCell ref="B4781:B4787"/>
    <mergeCell ref="B4788:B4794"/>
    <mergeCell ref="A4788:A4794"/>
    <mergeCell ref="A4795:A4801"/>
    <mergeCell ref="B4795:B4801"/>
    <mergeCell ref="A4802:A4808"/>
    <mergeCell ref="B4802:B4808"/>
    <mergeCell ref="A4809:A4813"/>
    <mergeCell ref="B4809:B4813"/>
    <mergeCell ref="A4814:A4819"/>
    <mergeCell ref="B4814:B4819"/>
    <mergeCell ref="A4820:A4825"/>
    <mergeCell ref="B4820:B4825"/>
    <mergeCell ref="A4826:A4831"/>
    <mergeCell ref="B4826:B4831"/>
    <mergeCell ref="A4832:A4837"/>
    <mergeCell ref="B4832:B4837"/>
    <mergeCell ref="A4838:A4844"/>
    <mergeCell ref="B4838:B4844"/>
    <mergeCell ref="A4845:A4849"/>
    <mergeCell ref="B4845:B4849"/>
    <mergeCell ref="A4850:A4857"/>
    <mergeCell ref="B4850:B4857"/>
    <mergeCell ref="A4858:A4863"/>
    <mergeCell ref="B4858:B4863"/>
    <mergeCell ref="A4864:A4867"/>
    <mergeCell ref="B4864:B4867"/>
    <mergeCell ref="A5126:A5131"/>
    <mergeCell ref="B5126:B5131"/>
    <mergeCell ref="A5132:A5137"/>
    <mergeCell ref="B5132:B5137"/>
    <mergeCell ref="A4940:A4946"/>
    <mergeCell ref="B4940:B4946"/>
    <mergeCell ref="A4947:A4957"/>
    <mergeCell ref="B4947:B4957"/>
    <mergeCell ref="A4927:A4932"/>
    <mergeCell ref="B4927:B4932"/>
    <mergeCell ref="A4933:A4939"/>
    <mergeCell ref="B4933:B4939"/>
    <mergeCell ref="A4868:A4873"/>
    <mergeCell ref="B4868:B4873"/>
    <mergeCell ref="A4874:A4879"/>
    <mergeCell ref="B4874:B4879"/>
    <mergeCell ref="A4880:A4886"/>
    <mergeCell ref="B4880:B4886"/>
    <mergeCell ref="A4887:A4893"/>
    <mergeCell ref="B4887:B4893"/>
    <mergeCell ref="A4894:A4900"/>
    <mergeCell ref="B4894:B4900"/>
    <mergeCell ref="A4901:A4908"/>
    <mergeCell ref="B4901:B4908"/>
    <mergeCell ref="A4909:A4914"/>
    <mergeCell ref="B4909:B4914"/>
    <mergeCell ref="A4915:A4920"/>
    <mergeCell ref="B4915:B4920"/>
    <mergeCell ref="A4921:A4926"/>
    <mergeCell ref="B4921:B4926"/>
    <mergeCell ref="A4972:A4979"/>
    <mergeCell ref="B4972:B4979"/>
    <mergeCell ref="A2643:A2646"/>
    <mergeCell ref="B2643:B2646"/>
    <mergeCell ref="A2511:A2514"/>
    <mergeCell ref="B2511:B2514"/>
    <mergeCell ref="A2515:A2518"/>
    <mergeCell ref="B2515:B2518"/>
    <mergeCell ref="A2519:A2522"/>
    <mergeCell ref="B2519:B2522"/>
    <mergeCell ref="A2523:A2526"/>
    <mergeCell ref="B2523:B2526"/>
    <mergeCell ref="A2527:A2530"/>
    <mergeCell ref="B2527:B2530"/>
    <mergeCell ref="A2531:A2534"/>
    <mergeCell ref="B2531:B2534"/>
    <mergeCell ref="A2535:A2538"/>
    <mergeCell ref="B2535:B2538"/>
    <mergeCell ref="A2443:A2446"/>
    <mergeCell ref="B2443:B2446"/>
    <mergeCell ref="A2455:A2458"/>
    <mergeCell ref="B2455:B2458"/>
    <mergeCell ref="A2459:A2462"/>
    <mergeCell ref="B2459:B2462"/>
    <mergeCell ref="A2463:A2466"/>
    <mergeCell ref="B2463:B2466"/>
    <mergeCell ref="A2467:A2470"/>
    <mergeCell ref="B2467:B2470"/>
    <mergeCell ref="A2471:A2474"/>
    <mergeCell ref="B2471:B2474"/>
    <mergeCell ref="A2475:A2478"/>
    <mergeCell ref="B2475:B2478"/>
    <mergeCell ref="A2479:A2482"/>
    <mergeCell ref="B2479:B2482"/>
    <mergeCell ref="A2631:A2634"/>
    <mergeCell ref="B2631:B2634"/>
    <mergeCell ref="A2635:A2638"/>
    <mergeCell ref="B2635:B2638"/>
    <mergeCell ref="A2639:A2642"/>
    <mergeCell ref="B2639:B2642"/>
    <mergeCell ref="A2487:A2490"/>
    <mergeCell ref="B2487:B2490"/>
    <mergeCell ref="A2491:A2494"/>
    <mergeCell ref="B2491:B2494"/>
    <mergeCell ref="A2495:A2498"/>
    <mergeCell ref="B2495:B2498"/>
    <mergeCell ref="A2499:A2502"/>
    <mergeCell ref="B2499:B2502"/>
    <mergeCell ref="A2503:A2506"/>
    <mergeCell ref="B2503:B2506"/>
    <mergeCell ref="A2507:A2510"/>
    <mergeCell ref="B2507:B2510"/>
    <mergeCell ref="A2547:A2550"/>
    <mergeCell ref="B2547:B2550"/>
    <mergeCell ref="A2551:A2554"/>
    <mergeCell ref="B2551:B2554"/>
    <mergeCell ref="A2619:A2622"/>
    <mergeCell ref="B2619:B2622"/>
    <mergeCell ref="A2623:A2626"/>
    <mergeCell ref="B2623:B2626"/>
    <mergeCell ref="A2627:A2630"/>
    <mergeCell ref="B2627:B2630"/>
    <mergeCell ref="A2607:A2610"/>
    <mergeCell ref="B2607:B2610"/>
    <mergeCell ref="A2611:A2614"/>
    <mergeCell ref="B2611:B2614"/>
    <mergeCell ref="A5228:A5235"/>
    <mergeCell ref="B5228:B5235"/>
    <mergeCell ref="A5236:A5243"/>
    <mergeCell ref="B5236:B5243"/>
    <mergeCell ref="A5244:A5250"/>
    <mergeCell ref="B5244:B5250"/>
    <mergeCell ref="A5251:A5260"/>
    <mergeCell ref="B5251:B5260"/>
    <mergeCell ref="A5261:A5272"/>
    <mergeCell ref="B5261:B5272"/>
    <mergeCell ref="A5273:A5278"/>
    <mergeCell ref="B5273:B5278"/>
    <mergeCell ref="A5461:A5464"/>
    <mergeCell ref="B5461:B5464"/>
    <mergeCell ref="A5465:A5468"/>
    <mergeCell ref="B5465:B5468"/>
    <mergeCell ref="A5469:A5472"/>
    <mergeCell ref="B5469:B5472"/>
    <mergeCell ref="A5314:A5320"/>
    <mergeCell ref="B5314:B5320"/>
    <mergeCell ref="A5279:A5284"/>
    <mergeCell ref="B5279:B5284"/>
    <mergeCell ref="A5285:A5291"/>
    <mergeCell ref="B5285:B5291"/>
    <mergeCell ref="A5292:A5297"/>
    <mergeCell ref="B5292:B5297"/>
    <mergeCell ref="A5298:A5303"/>
    <mergeCell ref="B5298:B5303"/>
    <mergeCell ref="A5304:A5309"/>
    <mergeCell ref="B5304:B5309"/>
    <mergeCell ref="A5310:A5313"/>
    <mergeCell ref="B5310:B5313"/>
    <mergeCell ref="A5509:A5512"/>
    <mergeCell ref="B5509:B5512"/>
    <mergeCell ref="A5513:A5516"/>
    <mergeCell ref="B5513:B5516"/>
    <mergeCell ref="A5517:A5520"/>
    <mergeCell ref="B5517:B5520"/>
    <mergeCell ref="A5521:A5524"/>
    <mergeCell ref="B5521:B5524"/>
    <mergeCell ref="A5525:A5528"/>
    <mergeCell ref="B5525:B5528"/>
    <mergeCell ref="A5529:A5532"/>
    <mergeCell ref="B5529:B5532"/>
    <mergeCell ref="A5533:A5536"/>
    <mergeCell ref="B5533:B5536"/>
    <mergeCell ref="A5537:A5540"/>
    <mergeCell ref="B5537:B5540"/>
    <mergeCell ref="A5541:A5544"/>
    <mergeCell ref="B5541:B5544"/>
    <mergeCell ref="A5545:A5548"/>
    <mergeCell ref="B5545:B5548"/>
    <mergeCell ref="A5549:A5552"/>
    <mergeCell ref="B5549:B5552"/>
    <mergeCell ref="A5553:A5556"/>
    <mergeCell ref="B5553:B5556"/>
    <mergeCell ref="A5557:A5560"/>
    <mergeCell ref="B5557:B5560"/>
    <mergeCell ref="A5561:A5564"/>
    <mergeCell ref="B5561:B5564"/>
    <mergeCell ref="A5565:A5568"/>
    <mergeCell ref="B5565:B5568"/>
    <mergeCell ref="A5569:A5572"/>
    <mergeCell ref="B5569:B5572"/>
    <mergeCell ref="A5573:A5576"/>
    <mergeCell ref="B5573:B5576"/>
    <mergeCell ref="A5577:A5580"/>
    <mergeCell ref="B5577:B5580"/>
    <mergeCell ref="A5581:A5584"/>
    <mergeCell ref="B5581:B5584"/>
    <mergeCell ref="A5585:A5588"/>
    <mergeCell ref="B5585:B5588"/>
    <mergeCell ref="A5589:A5592"/>
    <mergeCell ref="B5589:B5592"/>
    <mergeCell ref="A5593:A5596"/>
    <mergeCell ref="B5593:B5596"/>
    <mergeCell ref="A5597:A5600"/>
    <mergeCell ref="B5597:B5600"/>
    <mergeCell ref="A5601:A5604"/>
    <mergeCell ref="B5601:B5604"/>
    <mergeCell ref="A5605:A5608"/>
    <mergeCell ref="B5605:B5608"/>
    <mergeCell ref="A5609:A5612"/>
    <mergeCell ref="B5609:B5612"/>
    <mergeCell ref="A5613:A5616"/>
    <mergeCell ref="B5613:B5616"/>
    <mergeCell ref="A5617:A5620"/>
    <mergeCell ref="B5617:B5620"/>
    <mergeCell ref="A5621:A5624"/>
    <mergeCell ref="B5621:B5624"/>
    <mergeCell ref="A5625:A5628"/>
    <mergeCell ref="B5625:B5628"/>
    <mergeCell ref="A5629:A5632"/>
    <mergeCell ref="B5629:B5632"/>
    <mergeCell ref="A5633:A5636"/>
    <mergeCell ref="B5633:B5636"/>
    <mergeCell ref="A5637:A5640"/>
    <mergeCell ref="B5637:B5640"/>
    <mergeCell ref="A5641:A5644"/>
    <mergeCell ref="B5641:B5644"/>
    <mergeCell ref="A5645:A5648"/>
    <mergeCell ref="B5645:B5648"/>
    <mergeCell ref="A5649:A5652"/>
    <mergeCell ref="B5649:B5652"/>
    <mergeCell ref="A5653:A5656"/>
    <mergeCell ref="B5653:B5656"/>
    <mergeCell ref="A5657:A5660"/>
    <mergeCell ref="B5657:B5660"/>
    <mergeCell ref="A5661:A5664"/>
    <mergeCell ref="B5661:B5664"/>
    <mergeCell ref="A5665:A5668"/>
    <mergeCell ref="B5665:B5668"/>
    <mergeCell ref="A5669:A5672"/>
    <mergeCell ref="B5669:B5672"/>
    <mergeCell ref="A5673:A5676"/>
    <mergeCell ref="B5673:B5676"/>
    <mergeCell ref="A5677:A5680"/>
    <mergeCell ref="B5677:B5680"/>
    <mergeCell ref="A5681:A5684"/>
    <mergeCell ref="B5681:B5684"/>
    <mergeCell ref="A5685:A5688"/>
    <mergeCell ref="B5685:B5688"/>
    <mergeCell ref="A5689:A5692"/>
    <mergeCell ref="B5689:B5692"/>
    <mergeCell ref="A5693:A5696"/>
    <mergeCell ref="B5693:B5696"/>
    <mergeCell ref="A5697:A5700"/>
    <mergeCell ref="B5697:B5700"/>
    <mergeCell ref="A5701:A5704"/>
    <mergeCell ref="B5701:B5704"/>
    <mergeCell ref="A5705:A5708"/>
    <mergeCell ref="B5705:B5708"/>
    <mergeCell ref="A5709:A5712"/>
    <mergeCell ref="B5709:B5712"/>
    <mergeCell ref="A5713:A5716"/>
    <mergeCell ref="B5713:B5716"/>
    <mergeCell ref="A5717:A5720"/>
    <mergeCell ref="B5717:B5720"/>
    <mergeCell ref="A5721:A5724"/>
    <mergeCell ref="B5721:B5724"/>
    <mergeCell ref="A5725:A5728"/>
    <mergeCell ref="B5725:B5728"/>
    <mergeCell ref="A5729:A5732"/>
    <mergeCell ref="B5729:B5732"/>
    <mergeCell ref="A5733:A5736"/>
    <mergeCell ref="B5733:B5736"/>
    <mergeCell ref="A5737:A5740"/>
    <mergeCell ref="B5737:B5740"/>
    <mergeCell ref="A5741:A5744"/>
    <mergeCell ref="B5741:B5744"/>
    <mergeCell ref="A5745:A5748"/>
    <mergeCell ref="B5745:B5748"/>
    <mergeCell ref="A5817:A5820"/>
    <mergeCell ref="B5817:B5820"/>
    <mergeCell ref="A5749:A5752"/>
    <mergeCell ref="B5749:B5752"/>
    <mergeCell ref="A5753:A5756"/>
    <mergeCell ref="B5753:B5756"/>
    <mergeCell ref="A5757:A5760"/>
    <mergeCell ref="B5757:B5760"/>
    <mergeCell ref="A5761:A5764"/>
    <mergeCell ref="B5761:B5764"/>
    <mergeCell ref="A5765:A5768"/>
    <mergeCell ref="B5765:B5768"/>
    <mergeCell ref="A5769:A5772"/>
    <mergeCell ref="B5769:B5772"/>
    <mergeCell ref="A5773:A5776"/>
    <mergeCell ref="B5773:B5776"/>
    <mergeCell ref="A5777:A5780"/>
    <mergeCell ref="B5777:B5780"/>
    <mergeCell ref="A5781:A5784"/>
    <mergeCell ref="B5781:B5784"/>
    <mergeCell ref="A5821:A5824"/>
    <mergeCell ref="A5825:A5828"/>
    <mergeCell ref="A5829:A5832"/>
    <mergeCell ref="B5829:B5832"/>
    <mergeCell ref="A5833:A5836"/>
    <mergeCell ref="B5833:B5836"/>
    <mergeCell ref="A5837:A5840"/>
    <mergeCell ref="B5837:B5840"/>
    <mergeCell ref="A5841:A5844"/>
    <mergeCell ref="B5841:B5844"/>
    <mergeCell ref="A5845:A5848"/>
    <mergeCell ref="B5845:B5848"/>
    <mergeCell ref="A5849:A5852"/>
    <mergeCell ref="B5849:B5852"/>
    <mergeCell ref="A5853:A5856"/>
    <mergeCell ref="B5853:B5856"/>
    <mergeCell ref="A5785:A5788"/>
    <mergeCell ref="B5785:B5788"/>
    <mergeCell ref="A5789:A5792"/>
    <mergeCell ref="B5789:B5792"/>
    <mergeCell ref="A5793:A5796"/>
    <mergeCell ref="B5793:B5796"/>
    <mergeCell ref="A5797:A5800"/>
    <mergeCell ref="B5797:B5800"/>
    <mergeCell ref="A5801:A5804"/>
    <mergeCell ref="B5801:B5804"/>
    <mergeCell ref="A5805:A5808"/>
    <mergeCell ref="B5805:B5808"/>
    <mergeCell ref="A5809:A5812"/>
    <mergeCell ref="B5809:B5812"/>
    <mergeCell ref="A5813:A5816"/>
    <mergeCell ref="B5813:B5816"/>
    <mergeCell ref="A5893:A5896"/>
    <mergeCell ref="B5893:B5896"/>
    <mergeCell ref="A5897:A5900"/>
    <mergeCell ref="B5897:B5900"/>
    <mergeCell ref="A5901:A5904"/>
    <mergeCell ref="B5901:B5904"/>
    <mergeCell ref="A5905:A5908"/>
    <mergeCell ref="B5905:B5908"/>
    <mergeCell ref="A5909:A5912"/>
    <mergeCell ref="B5909:B5912"/>
    <mergeCell ref="A5913:A5916"/>
    <mergeCell ref="B5913:B5916"/>
    <mergeCell ref="A5917:A5920"/>
    <mergeCell ref="B5917:B5920"/>
    <mergeCell ref="A5921:A5924"/>
    <mergeCell ref="B5921:B5924"/>
    <mergeCell ref="A5857:A5860"/>
    <mergeCell ref="B5857:B5860"/>
    <mergeCell ref="A5861:A5864"/>
    <mergeCell ref="B5861:B5864"/>
    <mergeCell ref="A5865:A5868"/>
    <mergeCell ref="B5865:B5868"/>
    <mergeCell ref="A5869:A5872"/>
    <mergeCell ref="B5869:B5872"/>
    <mergeCell ref="A5873:A5876"/>
    <mergeCell ref="B5873:B5876"/>
    <mergeCell ref="A5877:A5880"/>
    <mergeCell ref="B5877:B5880"/>
    <mergeCell ref="A5881:A5884"/>
    <mergeCell ref="B5881:B5884"/>
    <mergeCell ref="A5885:A5888"/>
    <mergeCell ref="B5885:B5888"/>
    <mergeCell ref="A5925:A5928"/>
    <mergeCell ref="B5925:B5928"/>
    <mergeCell ref="A5929:A5932"/>
    <mergeCell ref="B5929:B5932"/>
    <mergeCell ref="A5933:A5936"/>
    <mergeCell ref="B5933:B5936"/>
    <mergeCell ref="A5937:A5940"/>
    <mergeCell ref="B5937:B5940"/>
    <mergeCell ref="A5941:A5948"/>
    <mergeCell ref="B5941:B5948"/>
    <mergeCell ref="A5949:A5952"/>
    <mergeCell ref="B5949:B5952"/>
    <mergeCell ref="A5953:A5956"/>
    <mergeCell ref="B5953:B5956"/>
    <mergeCell ref="A2723:A2726"/>
    <mergeCell ref="B2723:B2726"/>
    <mergeCell ref="B5821:B5824"/>
    <mergeCell ref="B5825:B5828"/>
    <mergeCell ref="A5409:A5414"/>
    <mergeCell ref="B5409:B5414"/>
    <mergeCell ref="A5415:A5420"/>
    <mergeCell ref="B5415:B5420"/>
    <mergeCell ref="A5421:A5426"/>
    <mergeCell ref="B5421:B5426"/>
    <mergeCell ref="A5427:A5432"/>
    <mergeCell ref="B5427:B5432"/>
    <mergeCell ref="A5433:A5438"/>
    <mergeCell ref="B5433:B5438"/>
    <mergeCell ref="A5439:A5444"/>
    <mergeCell ref="B5439:B5444"/>
    <mergeCell ref="A5889:A5892"/>
    <mergeCell ref="B5889:B5892"/>
    <mergeCell ref="A5957:A5960"/>
    <mergeCell ref="B5957:B5960"/>
    <mergeCell ref="A2715:A2718"/>
    <mergeCell ref="B2715:B2718"/>
    <mergeCell ref="A5325:A5330"/>
    <mergeCell ref="B5325:B5330"/>
    <mergeCell ref="A5331:A5336"/>
    <mergeCell ref="B5331:B5336"/>
    <mergeCell ref="A5337:A5342"/>
    <mergeCell ref="B5337:B5342"/>
    <mergeCell ref="A5343:A5348"/>
    <mergeCell ref="B5343:B5348"/>
    <mergeCell ref="A5349:A5354"/>
    <mergeCell ref="B5349:B5354"/>
    <mergeCell ref="A5355:A5360"/>
    <mergeCell ref="B5355:B5360"/>
    <mergeCell ref="A5361:A5366"/>
    <mergeCell ref="B5361:B5366"/>
    <mergeCell ref="A5367:A5372"/>
    <mergeCell ref="B5367:B5372"/>
    <mergeCell ref="A5373:A5378"/>
    <mergeCell ref="B5373:B5378"/>
    <mergeCell ref="A5379:A5384"/>
    <mergeCell ref="B5379:B5384"/>
    <mergeCell ref="A5385:A5390"/>
    <mergeCell ref="B5385:B5390"/>
    <mergeCell ref="A5391:A5396"/>
    <mergeCell ref="B5391:B5396"/>
    <mergeCell ref="A5397:A5402"/>
    <mergeCell ref="B5397:B5402"/>
    <mergeCell ref="A5403:A5408"/>
    <mergeCell ref="B5403:B5408"/>
  </mergeCells>
  <conditionalFormatting sqref="D3336 D262 D2410 D2249:E2249 D4736:D4737 E4736 D4849 D4863 D5097 D5104 D861:E861 D878:E878 D884 D5212 D5218 D5250 D5188:E5188 D5181:E5181">
    <cfRule type="containsText" dxfId="2301" priority="4165" operator="containsText" text="Pesquisa de Preços">
      <formula>NOT(ISERROR(SEARCH("Pesquisa de Preços",D262)))</formula>
    </cfRule>
  </conditionalFormatting>
  <conditionalFormatting sqref="D9">
    <cfRule type="containsText" dxfId="2300" priority="4164" operator="containsText" text="Pesquisa de Preços">
      <formula>NOT(ISERROR(SEARCH("Pesquisa de Preços",D9)))</formula>
    </cfRule>
  </conditionalFormatting>
  <conditionalFormatting sqref="D7">
    <cfRule type="containsText" dxfId="2299" priority="4163" operator="containsText" text="Pesquisa de Preços">
      <formula>NOT(ISERROR(SEARCH("Pesquisa de Preços",D7)))</formula>
    </cfRule>
  </conditionalFormatting>
  <conditionalFormatting sqref="D6 D10 D14 D18 D23 D28 D33 D37 D42 D47 D52 D59 D64 D69 D77 D82 D87 D92 D97 D102 D106 D111 D116 D121 D126 D131 D135 D139 D144 D149 D154 D161 D166 D171 D175 D179 D183 D190 D197 D201 D205 D210 D214 D219 D224 D228 D232 D236 D240 D248 D263 D268 D276 D283 D290 D305 D320 D326 D341 D351 D365 D371 D380 D394 D401 D415 D422 D434 D440 D446 D454 D464 D471 D483 D489 D497 D504 D511 D517 D524 D531 D537 D545 D553 D561 D569 D579 D588 D596 D606 D615 D621 D629 D637 D644 D648 D652 D656 D660 D664 D668 D676 D686 D696 D704 D714 D723 D730 D736 D744 D748 D755 D766 D772 D783 D790 D804 D814 D818 D823 D827 D832 D839 D845 D850 D856 D862 D867 D875 D881 D887 D892 D899 D903 D909 D918 D925 D934 D943 D949 D955 D962 D969 D976 D987 D998 D1003 D1008 D1017 D1022 D1032 D1041 D1048 D1055 D1062 D1069 D1078 D1086 D1094 D1104 D1112 D1117 D1122 D1128 D1133 D1140 D1147 D1154 D1161 D1168 D1175 D1182 D1189 D1196 D1203 D1210 D1217 D1224 D1231 D1238 D1245 D1252 D1259 D1266 D1272 D1279 D1286 D1293 D1300 D1308 D1317 D1322 D1328 D1334 D1340 D1347 D1353 D1360 D1366 D1372 D1378 D1384 D1390 D1396 D1403 D1418 D1433 D1448 D1463 D1478 D1493 D1508 D1516 D1524 D1532 D1540 D1548 D1555 D1562 D1569 D1576 D1591 D1597 D1603 D1609 D1616 D1621 D1627 D1633 D1638 D1644 D1650 D1656 D1662 D1667 D1672 D1677 D1683 D1690 D1697 D1703 D1711 D1722 D1733 D1744 D1755 D1762 D1769 D1776 D1783 D1790 D1797 D1804 D1811 D1816 D1821 D1827 D1833 D1840 D1846 D1852 D1858 D1864 D1870 D1876 D1882 D1888 D1894 D1900 D1906 D1912 D1917 D1922 D1927 D1933 D1938 D1943 D1948 D1954 D1960 D1967 D1974 D1982 D1990 D1997 D2004 D2011 D2018 D2024 D2032 D2040 D2048 D2056 D2064 D2072 D2080 D2088 D2096 D2104 D2112 D2118 D2124 D2130 D2136 D2142 D2150 D2158 D2166 D2174 D2182 D2190 D2198 D2206 D2211 D2218 D2224 D2230 D2236 D2250 D2256 D2266 D2276 D2286 D2296 D2306 D2313 D2320 D2326 D2332 D2338 D2344 D2349 D2354 D2359 D2365 D2373 D2380 D2386 D2393 D2407 D2435 D2555 D2559 D2563 D2567 D2571 D2575 D2583 D2591 D2599 D2603 D2607 D2611 D2615 D2619 D2623 D2627 D2631 D2635 D2639 D2647 D2655 D2661 D2667 D2673 D2679 D2685 D2691 D2697 D2703 D2709 D2727 D2732 D2742 D2758 D2768 D2773 D2778 D2783 D2790 D2795 D2800 D2805 D2810 D2815 D2820 D2825 D2830 D2837 D2842 D2847 D2852 D2860 D2868 D2876 D2884 D2892 D2897 D2902 D2907 D2912 D2917 D2922 D2927 D2932 D2937 D2942 D2952 D2957 D2962 D2967 D2972 D2977 D2982 D2987 D2992 D2997 D3005 D3010 D3018 D3022 D3030 D3035 D3043 D3048 D3053 D3058 D3063 D3068 D3073 D3078 D3083 D3088 D3094 D3100 D3106 D3112 D3117 D3123 D3128 D3134 D3142 D3150 D3155 D3159 D3166 D3179 D3185 D3191 D3197 D3207 D3212 D3219 D3226 D3233 D3240 D3247 D3254 D3261 D3268 D3275 D3282 D3288 D3294 D3303 D3308 D3315 D3322 D3329 D3333 D3337 D3342 D3346 D3350 D3357 D3364 D3371 D3376 D3381 D3386 D3390 D3394 D3404 D3415 D3423 D3440 D3448 D3465 D3477 D3484 D3500 D3506 D3512 D3520 D3527 D3532 D3540 D3546 D3553 D3559 D3569 D3574 D3579 D3587 D3591 D3597 D3612 D3620 D3632 D3645 D3656 D3660 D3670 D3675 D3684 D3693 D3697 D3701 D3705 D3711 D3716 D3727 D3737 D3746 D3754 D3766 D3781 D3788 D3804 D3810 D3816 D3822 D3829 D3838 D3845 D3855 D3862 D3870 D3883 D3896 D3901 D3905 D3909 D3918 D3927 D3936 D3945 D3954 D3963 D3969 D3975 D3982 D3988 D3992 D3999 D4007 D4015 D4023 D4033 D4040 D4051 D4062 D4066 D4073 D4080 D4086 D4092 D4098 D4108 D4114 D4122 D4128 D4135 D4142 D4147 D4157 D4166 D4182 D4209 D4216 D4226 D4235 D4244 D4253 D4262 D4272 D4280 D4288 D4298 D4308 D4318 D4326 D4338 D4350 D4356 D4376 D4384 D4392 D4398 D4403 D4408 D4414 D4422 D4427 D4433 D4445 D4457 D4476 D4484 D4493 D4501 D4507 D4519 D4527 D4533 D4541 D4549 D4559 D4565 D4573 D4582 D4594 D4600 D4608 D4619">
    <cfRule type="containsText" dxfId="2298" priority="4162" operator="containsText" text="Pesquisa de Preços">
      <formula>NOT(ISERROR(SEARCH("Pesquisa de Preços",D6)))</formula>
    </cfRule>
  </conditionalFormatting>
  <conditionalFormatting sqref="D8">
    <cfRule type="containsText" dxfId="2297" priority="4161" operator="containsText" text="Pesquisa de Preços">
      <formula>NOT(ISERROR(SEARCH("Pesquisa de Preços",D8)))</formula>
    </cfRule>
  </conditionalFormatting>
  <conditionalFormatting sqref="D15">
    <cfRule type="containsText" dxfId="2296" priority="4160" operator="containsText" text="Pesquisa de Preços">
      <formula>NOT(ISERROR(SEARCH("Pesquisa de Preços",D15)))</formula>
    </cfRule>
  </conditionalFormatting>
  <conditionalFormatting sqref="D16">
    <cfRule type="containsText" dxfId="2295" priority="4159" operator="containsText" text="Pesquisa de Preços">
      <formula>NOT(ISERROR(SEARCH("Pesquisa de Preços",D16)))</formula>
    </cfRule>
  </conditionalFormatting>
  <conditionalFormatting sqref="D12">
    <cfRule type="containsText" dxfId="2294" priority="4158" operator="containsText" text="Pesquisa de Preços">
      <formula>NOT(ISERROR(SEARCH("Pesquisa de Preços",D12)))</formula>
    </cfRule>
  </conditionalFormatting>
  <conditionalFormatting sqref="D94:D95">
    <cfRule type="containsText" dxfId="2293" priority="3656" operator="containsText" text="Pesquisa de Preços">
      <formula>NOT(ISERROR(SEARCH("Pesquisa de Preços",D94)))</formula>
    </cfRule>
  </conditionalFormatting>
  <conditionalFormatting sqref="D13">
    <cfRule type="containsText" dxfId="2292" priority="4157" operator="containsText" text="Pesquisa de Preços">
      <formula>NOT(ISERROR(SEARCH("Pesquisa de Preços",D13)))</formula>
    </cfRule>
  </conditionalFormatting>
  <conditionalFormatting sqref="D11">
    <cfRule type="containsText" dxfId="2291" priority="4156" operator="containsText" text="Pesquisa de Preços">
      <formula>NOT(ISERROR(SEARCH("Pesquisa de Preços",D11)))</formula>
    </cfRule>
  </conditionalFormatting>
  <conditionalFormatting sqref="D225">
    <cfRule type="containsText" dxfId="2290" priority="4154" operator="containsText" text="Pesquisa de Preços">
      <formula>NOT(ISERROR(SEARCH("Pesquisa de Preços",D225)))</formula>
    </cfRule>
  </conditionalFormatting>
  <conditionalFormatting sqref="D227">
    <cfRule type="containsText" dxfId="2289" priority="4155" operator="containsText" text="Pesquisa de Preços">
      <formula>NOT(ISERROR(SEARCH("Pesquisa de Preços",D227)))</formula>
    </cfRule>
  </conditionalFormatting>
  <conditionalFormatting sqref="D1381">
    <cfRule type="containsText" dxfId="2288" priority="3652" operator="containsText" text="Pesquisa de Preços">
      <formula>NOT(ISERROR(SEARCH("Pesquisa de Preços",D1381)))</formula>
    </cfRule>
  </conditionalFormatting>
  <conditionalFormatting sqref="D514">
    <cfRule type="containsText" dxfId="2287" priority="4060" operator="containsText" text="Pesquisa de Preços">
      <formula>NOT(ISERROR(SEARCH("Pesquisa de Preços",D514)))</formula>
    </cfRule>
  </conditionalFormatting>
  <conditionalFormatting sqref="D150">
    <cfRule type="containsText" dxfId="2286" priority="4150" operator="containsText" text="Pesquisa de Preços">
      <formula>NOT(ISERROR(SEARCH("Pesquisa de Preços",D150)))</formula>
    </cfRule>
  </conditionalFormatting>
  <conditionalFormatting sqref="D490:D491 D493:D496">
    <cfRule type="containsText" dxfId="2285" priority="4057" operator="containsText" text="Pesquisa de Preços">
      <formula>NOT(ISERROR(SEARCH("Pesquisa de Preços",D490)))</formula>
    </cfRule>
  </conditionalFormatting>
  <conditionalFormatting sqref="D78">
    <cfRule type="containsText" dxfId="2284" priority="4151" operator="containsText" text="Pesquisa de Preços">
      <formula>NOT(ISERROR(SEARCH("Pesquisa de Preços",D78)))</formula>
    </cfRule>
  </conditionalFormatting>
  <conditionalFormatting sqref="D162">
    <cfRule type="containsText" dxfId="2283" priority="4149" operator="containsText" text="Pesquisa de Preços">
      <formula>NOT(ISERROR(SEARCH("Pesquisa de Preços",D162)))</formula>
    </cfRule>
  </conditionalFormatting>
  <conditionalFormatting sqref="D79">
    <cfRule type="containsText" dxfId="2282" priority="4153" operator="containsText" text="Pesquisa de Preços">
      <formula>NOT(ISERROR(SEARCH("Pesquisa de Preços",D79)))</formula>
    </cfRule>
  </conditionalFormatting>
  <conditionalFormatting sqref="D81">
    <cfRule type="containsText" dxfId="2281" priority="4152" operator="containsText" text="Pesquisa de Preços">
      <formula>NOT(ISERROR(SEARCH("Pesquisa de Preços",D81)))</formula>
    </cfRule>
  </conditionalFormatting>
  <conditionalFormatting sqref="D88">
    <cfRule type="containsText" dxfId="2280" priority="4148" operator="containsText" text="Pesquisa de Preços">
      <formula>NOT(ISERROR(SEARCH("Pesquisa de Preços",D88)))</formula>
    </cfRule>
  </conditionalFormatting>
  <conditionalFormatting sqref="D60">
    <cfRule type="containsText" dxfId="2279" priority="4147" operator="containsText" text="Pesquisa de Preços">
      <formula>NOT(ISERROR(SEARCH("Pesquisa de Preços",D60)))</formula>
    </cfRule>
  </conditionalFormatting>
  <conditionalFormatting sqref="D53">
    <cfRule type="containsText" dxfId="2278" priority="4146" operator="containsText" text="Pesquisa de Preços">
      <formula>NOT(ISERROR(SEARCH("Pesquisa de Preços",D53)))</formula>
    </cfRule>
  </conditionalFormatting>
  <conditionalFormatting sqref="D34:D35">
    <cfRule type="containsText" dxfId="2277" priority="4145" operator="containsText" text="Pesquisa de Preços">
      <formula>NOT(ISERROR(SEARCH("Pesquisa de Preços",D34)))</formula>
    </cfRule>
  </conditionalFormatting>
  <conditionalFormatting sqref="D98:D99">
    <cfRule type="containsText" dxfId="2276" priority="4143" operator="containsText" text="Pesquisa de Preços">
      <formula>NOT(ISERROR(SEARCH("Pesquisa de Preços",D98)))</formula>
    </cfRule>
  </conditionalFormatting>
  <conditionalFormatting sqref="D29">
    <cfRule type="containsText" dxfId="2275" priority="4144" operator="containsText" text="Pesquisa de Preços">
      <formula>NOT(ISERROR(SEARCH("Pesquisa de Preços",D29)))</formula>
    </cfRule>
  </conditionalFormatting>
  <conditionalFormatting sqref="D145:D146">
    <cfRule type="containsText" dxfId="2274" priority="4141" operator="containsText" text="Pesquisa de Preços">
      <formula>NOT(ISERROR(SEARCH("Pesquisa de Preços",D145)))</formula>
    </cfRule>
  </conditionalFormatting>
  <conditionalFormatting sqref="D100">
    <cfRule type="containsText" dxfId="2273" priority="4142" operator="containsText" text="Pesquisa de Preços">
      <formula>NOT(ISERROR(SEARCH("Pesquisa de Preços",D100)))</formula>
    </cfRule>
  </conditionalFormatting>
  <conditionalFormatting sqref="D180">
    <cfRule type="containsText" dxfId="2272" priority="4136" operator="containsText" text="Pesquisa de Preços">
      <formula>NOT(ISERROR(SEARCH("Pesquisa de Preços",D180)))</formula>
    </cfRule>
  </conditionalFormatting>
  <conditionalFormatting sqref="D24">
    <cfRule type="containsText" dxfId="2271" priority="4138" operator="containsText" text="Pesquisa de Preços">
      <formula>NOT(ISERROR(SEARCH("Pesquisa de Preços",D24)))</formula>
    </cfRule>
  </conditionalFormatting>
  <conditionalFormatting sqref="D147">
    <cfRule type="containsText" dxfId="2270" priority="4140" operator="containsText" text="Pesquisa de Preços">
      <formula>NOT(ISERROR(SEARCH("Pesquisa de Preços",D147)))</formula>
    </cfRule>
  </conditionalFormatting>
  <conditionalFormatting sqref="D43:D45">
    <cfRule type="containsText" dxfId="2269" priority="4139" operator="containsText" text="Pesquisa de Preços">
      <formula>NOT(ISERROR(SEARCH("Pesquisa de Preços",D43)))</formula>
    </cfRule>
  </conditionalFormatting>
  <conditionalFormatting sqref="D117">
    <cfRule type="containsText" dxfId="2268" priority="4135" operator="containsText" text="Pesquisa de Preços">
      <formula>NOT(ISERROR(SEARCH("Pesquisa de Preços",D117)))</formula>
    </cfRule>
  </conditionalFormatting>
  <conditionalFormatting sqref="D38:D40">
    <cfRule type="containsText" dxfId="2267" priority="4137" operator="containsText" text="Pesquisa de Preços">
      <formula>NOT(ISERROR(SEARCH("Pesquisa de Preços",D38)))</formula>
    </cfRule>
  </conditionalFormatting>
  <conditionalFormatting sqref="D677">
    <cfRule type="containsText" dxfId="2266" priority="4041" operator="containsText" text="Pesquisa de Preços">
      <formula>NOT(ISERROR(SEARCH("Pesquisa de Preços",D677)))</formula>
    </cfRule>
  </conditionalFormatting>
  <conditionalFormatting sqref="D669">
    <cfRule type="containsText" dxfId="2265" priority="4040" operator="containsText" text="Pesquisa de Preços">
      <formula>NOT(ISERROR(SEARCH("Pesquisa de Preços",D669)))</formula>
    </cfRule>
  </conditionalFormatting>
  <conditionalFormatting sqref="D176:D177">
    <cfRule type="containsText" dxfId="2264" priority="4134" operator="containsText" text="Pesquisa de Preços">
      <formula>NOT(ISERROR(SEARCH("Pesquisa de Preços",D176)))</formula>
    </cfRule>
  </conditionalFormatting>
  <conditionalFormatting sqref="D220:D221">
    <cfRule type="containsText" dxfId="2263" priority="4133" operator="containsText" text="Pesquisa de Preços">
      <formula>NOT(ISERROR(SEARCH("Pesquisa de Preços",D220)))</formula>
    </cfRule>
  </conditionalFormatting>
  <conditionalFormatting sqref="D687:D688 D694:D695">
    <cfRule type="containsText" dxfId="2262" priority="4039" operator="containsText" text="Pesquisa de Preços">
      <formula>NOT(ISERROR(SEARCH("Pesquisa de Preços",D687)))</formula>
    </cfRule>
  </conditionalFormatting>
  <conditionalFormatting sqref="D222">
    <cfRule type="containsText" dxfId="2261" priority="4132" operator="containsText" text="Pesquisa de Preços">
      <formula>NOT(ISERROR(SEARCH("Pesquisa de Preços",D222)))</formula>
    </cfRule>
  </conditionalFormatting>
  <conditionalFormatting sqref="D127">
    <cfRule type="containsText" dxfId="2260" priority="4131" operator="containsText" text="Pesquisa de Preços">
      <formula>NOT(ISERROR(SEARCH("Pesquisa de Preços",D127)))</formula>
    </cfRule>
  </conditionalFormatting>
  <conditionalFormatting sqref="D715">
    <cfRule type="containsText" dxfId="2259" priority="4037" operator="containsText" text="Pesquisa de Preços">
      <formula>NOT(ISERROR(SEARCH("Pesquisa de Preços",D715)))</formula>
    </cfRule>
  </conditionalFormatting>
  <conditionalFormatting sqref="D167:D168">
    <cfRule type="containsText" dxfId="2258" priority="4130" operator="containsText" text="Pesquisa de Preços">
      <formula>NOT(ISERROR(SEARCH("Pesquisa de Preços",D167)))</formula>
    </cfRule>
  </conditionalFormatting>
  <conditionalFormatting sqref="D731">
    <cfRule type="containsText" dxfId="2257" priority="4036" operator="containsText" text="Pesquisa de Preços">
      <formula>NOT(ISERROR(SEARCH("Pesquisa de Preços",D731)))</formula>
    </cfRule>
  </conditionalFormatting>
  <conditionalFormatting sqref="D169">
    <cfRule type="containsText" dxfId="2256" priority="4129" operator="containsText" text="Pesquisa de Preços">
      <formula>NOT(ISERROR(SEARCH("Pesquisa de Preços",D169)))</formula>
    </cfRule>
  </conditionalFormatting>
  <conditionalFormatting sqref="D83">
    <cfRule type="containsText" dxfId="2255" priority="4128" operator="containsText" text="Pesquisa de Preços">
      <formula>NOT(ISERROR(SEARCH("Pesquisa de Preços",D83)))</formula>
    </cfRule>
  </conditionalFormatting>
  <conditionalFormatting sqref="D112">
    <cfRule type="containsText" dxfId="2254" priority="4127" operator="containsText" text="Pesquisa de Preços">
      <formula>NOT(ISERROR(SEARCH("Pesquisa de Preços",D112)))</formula>
    </cfRule>
  </conditionalFormatting>
  <conditionalFormatting sqref="D211:D212">
    <cfRule type="containsText" dxfId="2253" priority="4126" operator="containsText" text="Pesquisa de Preços">
      <formula>NOT(ISERROR(SEARCH("Pesquisa de Preços",D211)))</formula>
    </cfRule>
  </conditionalFormatting>
  <conditionalFormatting sqref="D202">
    <cfRule type="containsText" dxfId="2252" priority="4125" operator="containsText" text="Pesquisa de Preços">
      <formula>NOT(ISERROR(SEARCH("Pesquisa de Preços",D202)))</formula>
    </cfRule>
  </conditionalFormatting>
  <conditionalFormatting sqref="D198:D199">
    <cfRule type="containsText" dxfId="2251" priority="4123" operator="containsText" text="Pesquisa de Preços">
      <formula>NOT(ISERROR(SEARCH("Pesquisa de Preços",D198)))</formula>
    </cfRule>
  </conditionalFormatting>
  <conditionalFormatting sqref="D203:D204">
    <cfRule type="containsText" dxfId="2250" priority="4124" operator="containsText" text="Pesquisa de Preços">
      <formula>NOT(ISERROR(SEARCH("Pesquisa de Preços",D203)))</formula>
    </cfRule>
  </conditionalFormatting>
  <conditionalFormatting sqref="D70:D71 D75:D76">
    <cfRule type="containsText" dxfId="2249" priority="4122" operator="containsText" text="Pesquisa de Preços">
      <formula>NOT(ISERROR(SEARCH("Pesquisa de Preços",D70)))</formula>
    </cfRule>
  </conditionalFormatting>
  <conditionalFormatting sqref="D72:D74">
    <cfRule type="containsText" dxfId="2248" priority="4121" operator="containsText" text="Pesquisa de Preços">
      <formula>NOT(ISERROR(SEARCH("Pesquisa de Preços",D72)))</formula>
    </cfRule>
  </conditionalFormatting>
  <conditionalFormatting sqref="D136:D137">
    <cfRule type="containsText" dxfId="2247" priority="4120" operator="containsText" text="Pesquisa de Preços">
      <formula>NOT(ISERROR(SEARCH("Pesquisa de Preços",D136)))</formula>
    </cfRule>
  </conditionalFormatting>
  <conditionalFormatting sqref="D140:D141">
    <cfRule type="containsText" dxfId="2246" priority="4119" operator="containsText" text="Pesquisa de Preços">
      <formula>NOT(ISERROR(SEARCH("Pesquisa de Preços",D140)))</formula>
    </cfRule>
  </conditionalFormatting>
  <conditionalFormatting sqref="D791 D793:D802">
    <cfRule type="containsText" dxfId="2245" priority="4033" operator="containsText" text="Pesquisa de Preços">
      <formula>NOT(ISERROR(SEARCH("Pesquisa de Preços",D791)))</formula>
    </cfRule>
  </conditionalFormatting>
  <conditionalFormatting sqref="D155:D157">
    <cfRule type="containsText" dxfId="2244" priority="4118" operator="containsText" text="Pesquisa de Preços">
      <formula>NOT(ISERROR(SEARCH("Pesquisa de Preços",D155)))</formula>
    </cfRule>
  </conditionalFormatting>
  <conditionalFormatting sqref="D833">
    <cfRule type="containsText" dxfId="2243" priority="4032" operator="containsText" text="Pesquisa de Preços">
      <formula>NOT(ISERROR(SEARCH("Pesquisa de Preços",D833)))</formula>
    </cfRule>
  </conditionalFormatting>
  <conditionalFormatting sqref="D93">
    <cfRule type="containsText" dxfId="2242" priority="4117" operator="containsText" text="Pesquisa de Preços">
      <formula>NOT(ISERROR(SEARCH("Pesquisa de Preços",D93)))</formula>
    </cfRule>
  </conditionalFormatting>
  <conditionalFormatting sqref="D815:D816">
    <cfRule type="containsText" dxfId="2241" priority="4031" operator="containsText" text="Pesquisa de Preços">
      <formula>NOT(ISERROR(SEARCH("Pesquisa de Preços",D815)))</formula>
    </cfRule>
  </conditionalFormatting>
  <conditionalFormatting sqref="D48:D49">
    <cfRule type="containsText" dxfId="2240" priority="4116" operator="containsText" text="Pesquisa de Preços">
      <formula>NOT(ISERROR(SEARCH("Pesquisa de Preços",D48)))</formula>
    </cfRule>
  </conditionalFormatting>
  <conditionalFormatting sqref="D50">
    <cfRule type="containsText" dxfId="2239" priority="4115" operator="containsText" text="Pesquisa de Preços">
      <formula>NOT(ISERROR(SEARCH("Pesquisa de Preços",D50)))</formula>
    </cfRule>
  </conditionalFormatting>
  <conditionalFormatting sqref="D191:D192">
    <cfRule type="containsText" dxfId="2238" priority="4114" operator="containsText" text="Pesquisa de Preços">
      <formula>NOT(ISERROR(SEARCH("Pesquisa de Preços",D191)))</formula>
    </cfRule>
  </conditionalFormatting>
  <conditionalFormatting sqref="D749:D750 D753:D754">
    <cfRule type="containsText" dxfId="2237" priority="4030" operator="containsText" text="Pesquisa de Preços">
      <formula>NOT(ISERROR(SEARCH("Pesquisa de Preços",D749)))</formula>
    </cfRule>
  </conditionalFormatting>
  <conditionalFormatting sqref="D193">
    <cfRule type="containsText" dxfId="2236" priority="4113" operator="containsText" text="Pesquisa de Preços">
      <formula>NOT(ISERROR(SEARCH("Pesquisa de Preços",D193)))</formula>
    </cfRule>
  </conditionalFormatting>
  <conditionalFormatting sqref="D215">
    <cfRule type="containsText" dxfId="2235" priority="4112" operator="containsText" text="Pesquisa de Preços">
      <formula>NOT(ISERROR(SEARCH("Pesquisa de Preços",D215)))</formula>
    </cfRule>
  </conditionalFormatting>
  <conditionalFormatting sqref="D217">
    <cfRule type="containsText" dxfId="2234" priority="4111" operator="containsText" text="Pesquisa de Preços">
      <formula>NOT(ISERROR(SEARCH("Pesquisa de Preços",D217)))</formula>
    </cfRule>
  </conditionalFormatting>
  <conditionalFormatting sqref="D122">
    <cfRule type="containsText" dxfId="2233" priority="4110" operator="containsText" text="Pesquisa de Preços">
      <formula>NOT(ISERROR(SEARCH("Pesquisa de Preços",D122)))</formula>
    </cfRule>
  </conditionalFormatting>
  <conditionalFormatting sqref="D756:D757">
    <cfRule type="containsText" dxfId="2232" priority="4028" operator="containsText" text="Pesquisa de Preços">
      <formula>NOT(ISERROR(SEARCH("Pesquisa de Preços",D756)))</formula>
    </cfRule>
  </conditionalFormatting>
  <conditionalFormatting sqref="D124">
    <cfRule type="containsText" dxfId="2231" priority="4109" operator="containsText" text="Pesquisa de Preços">
      <formula>NOT(ISERROR(SEARCH("Pesquisa de Preços",D124)))</formula>
    </cfRule>
  </conditionalFormatting>
  <conditionalFormatting sqref="D107:D108">
    <cfRule type="containsText" dxfId="2230" priority="4108" operator="containsText" text="Pesquisa de Preços">
      <formula>NOT(ISERROR(SEARCH("Pesquisa de Preços",D107)))</formula>
    </cfRule>
  </conditionalFormatting>
  <conditionalFormatting sqref="D824 D826">
    <cfRule type="containsText" dxfId="2229" priority="4026" operator="containsText" text="Pesquisa de Preços">
      <formula>NOT(ISERROR(SEARCH("Pesquisa de Preços",D824)))</formula>
    </cfRule>
  </conditionalFormatting>
  <conditionalFormatting sqref="D109">
    <cfRule type="containsText" dxfId="2228" priority="4107" operator="containsText" text="Pesquisa de Preços">
      <formula>NOT(ISERROR(SEARCH("Pesquisa de Preços",D109)))</formula>
    </cfRule>
  </conditionalFormatting>
  <conditionalFormatting sqref="D132">
    <cfRule type="containsText" dxfId="2227" priority="4106" operator="containsText" text="Pesquisa de Preços">
      <formula>NOT(ISERROR(SEARCH("Pesquisa de Preços",D132)))</formula>
    </cfRule>
  </conditionalFormatting>
  <conditionalFormatting sqref="D828">
    <cfRule type="containsText" dxfId="2226" priority="4025" operator="containsText" text="Pesquisa de Preços">
      <formula>NOT(ISERROR(SEARCH("Pesquisa de Preços",D828)))</formula>
    </cfRule>
  </conditionalFormatting>
  <conditionalFormatting sqref="D65">
    <cfRule type="containsText" dxfId="2225" priority="4105" operator="containsText" text="Pesquisa de Preços">
      <formula>NOT(ISERROR(SEARCH("Pesquisa de Preços",D65)))</formula>
    </cfRule>
  </conditionalFormatting>
  <conditionalFormatting sqref="D805">
    <cfRule type="containsText" dxfId="2224" priority="4024" operator="containsText" text="Pesquisa de Preços">
      <formula>NOT(ISERROR(SEARCH("Pesquisa de Preços",D805)))</formula>
    </cfRule>
  </conditionalFormatting>
  <conditionalFormatting sqref="D67">
    <cfRule type="containsText" dxfId="2223" priority="4104" operator="containsText" text="Pesquisa de Preços">
      <formula>NOT(ISERROR(SEARCH("Pesquisa de Preços",D67)))</formula>
    </cfRule>
  </conditionalFormatting>
  <conditionalFormatting sqref="D321">
    <cfRule type="containsText" dxfId="2222" priority="4093" operator="containsText" text="Pesquisa de Preços">
      <formula>NOT(ISERROR(SEARCH("Pesquisa de Preços",D321)))</formula>
    </cfRule>
  </conditionalFormatting>
  <conditionalFormatting sqref="D342">
    <cfRule type="containsText" dxfId="2221" priority="4090" operator="containsText" text="Pesquisa de Preços">
      <formula>NOT(ISERROR(SEARCH("Pesquisa de Preços",D342)))</formula>
    </cfRule>
  </conditionalFormatting>
  <conditionalFormatting sqref="D327:D328">
    <cfRule type="containsText" dxfId="2220" priority="4085" operator="containsText" text="Pesquisa de Preços">
      <formula>NOT(ISERROR(SEARCH("Pesquisa de Preços",D327)))</formula>
    </cfRule>
  </conditionalFormatting>
  <conditionalFormatting sqref="D416 D421">
    <cfRule type="containsText" dxfId="2219" priority="4078" operator="containsText" text="Pesquisa de Preços">
      <formula>NOT(ISERROR(SEARCH("Pesquisa de Preços",D416)))</formula>
    </cfRule>
  </conditionalFormatting>
  <conditionalFormatting sqref="D247">
    <cfRule type="containsText" dxfId="2218" priority="4103" operator="containsText" text="Pesquisa de Preços">
      <formula>NOT(ISERROR(SEARCH("Pesquisa de Preços",D247)))</formula>
    </cfRule>
  </conditionalFormatting>
  <conditionalFormatting sqref="D249:D250">
    <cfRule type="containsText" dxfId="2217" priority="4102" operator="containsText" text="Pesquisa de Preços">
      <formula>NOT(ISERROR(SEARCH("Pesquisa de Preços",D249)))</formula>
    </cfRule>
  </conditionalFormatting>
  <conditionalFormatting sqref="D1089:D1090">
    <cfRule type="containsText" dxfId="2216" priority="3988" operator="containsText" text="Pesquisa de Preços">
      <formula>NOT(ISERROR(SEARCH("Pesquisa de Preços",D1089)))</formula>
    </cfRule>
  </conditionalFormatting>
  <conditionalFormatting sqref="D251:D261">
    <cfRule type="containsText" dxfId="2215" priority="4101" operator="containsText" text="Pesquisa de Preços">
      <formula>NOT(ISERROR(SEARCH("Pesquisa de Preços",D251)))</formula>
    </cfRule>
  </conditionalFormatting>
  <conditionalFormatting sqref="D264:D265">
    <cfRule type="containsText" dxfId="2214" priority="4100" operator="containsText" text="Pesquisa de Preços">
      <formula>NOT(ISERROR(SEARCH("Pesquisa de Preços",D264)))</formula>
    </cfRule>
  </conditionalFormatting>
  <conditionalFormatting sqref="D277:D278 D282">
    <cfRule type="containsText" dxfId="2213" priority="4099" operator="containsText" text="Pesquisa de Preços">
      <formula>NOT(ISERROR(SEARCH("Pesquisa de Preços",D277)))</formula>
    </cfRule>
  </conditionalFormatting>
  <conditionalFormatting sqref="D279:D280">
    <cfRule type="containsText" dxfId="2212" priority="4098" operator="containsText" text="Pesquisa de Preços">
      <formula>NOT(ISERROR(SEARCH("Pesquisa de Preços",D279)))</formula>
    </cfRule>
  </conditionalFormatting>
  <conditionalFormatting sqref="D284:D285 D289">
    <cfRule type="containsText" dxfId="2211" priority="4097" operator="containsText" text="Pesquisa de Preços">
      <formula>NOT(ISERROR(SEARCH("Pesquisa de Preços",D284)))</formula>
    </cfRule>
  </conditionalFormatting>
  <conditionalFormatting sqref="D286:D287">
    <cfRule type="containsText" dxfId="2210" priority="4096" operator="containsText" text="Pesquisa de Preços">
      <formula>NOT(ISERROR(SEARCH("Pesquisa de Preços",D286)))</formula>
    </cfRule>
  </conditionalFormatting>
  <conditionalFormatting sqref="D269:D270 D274:D275">
    <cfRule type="containsText" dxfId="2209" priority="4095" operator="containsText" text="Pesquisa de Preços">
      <formula>NOT(ISERROR(SEARCH("Pesquisa de Preços",D269)))</formula>
    </cfRule>
  </conditionalFormatting>
  <conditionalFormatting sqref="D271:D272">
    <cfRule type="containsText" dxfId="2208" priority="4094" operator="containsText" text="Pesquisa de Preços">
      <formula>NOT(ISERROR(SEARCH("Pesquisa de Preços",D271)))</formula>
    </cfRule>
  </conditionalFormatting>
  <conditionalFormatting sqref="D532:D533 D536">
    <cfRule type="containsText" dxfId="2207" priority="4059" operator="containsText" text="Pesquisa de Preços">
      <formula>NOT(ISERROR(SEARCH("Pesquisa de Preços",D532)))</formula>
    </cfRule>
  </conditionalFormatting>
  <conditionalFormatting sqref="D306">
    <cfRule type="containsText" dxfId="2206" priority="4092" operator="containsText" text="Pesquisa de Preços">
      <formula>NOT(ISERROR(SEARCH("Pesquisa de Preços",D306)))</formula>
    </cfRule>
  </conditionalFormatting>
  <conditionalFormatting sqref="D312:D314">
    <cfRule type="containsText" dxfId="2205" priority="4091" operator="containsText" text="Pesquisa de Preços">
      <formula>NOT(ISERROR(SEARCH("Pesquisa de Preços",D312)))</formula>
    </cfRule>
  </conditionalFormatting>
  <conditionalFormatting sqref="D352">
    <cfRule type="containsText" dxfId="2204" priority="4089" operator="containsText" text="Pesquisa de Preços">
      <formula>NOT(ISERROR(SEARCH("Pesquisa de Preços",D352)))</formula>
    </cfRule>
  </conditionalFormatting>
  <conditionalFormatting sqref="D355:D358">
    <cfRule type="containsText" dxfId="2203" priority="4088" operator="containsText" text="Pesquisa de Preços">
      <formula>NOT(ISERROR(SEARCH("Pesquisa de Preços",D355)))</formula>
    </cfRule>
  </conditionalFormatting>
  <conditionalFormatting sqref="D291">
    <cfRule type="containsText" dxfId="2202" priority="4087" operator="containsText" text="Pesquisa de Preços">
      <formula>NOT(ISERROR(SEARCH("Pesquisa de Preços",D291)))</formula>
    </cfRule>
  </conditionalFormatting>
  <conditionalFormatting sqref="D298:D299">
    <cfRule type="containsText" dxfId="2201" priority="4086" operator="containsText" text="Pesquisa de Preços">
      <formula>NOT(ISERROR(SEARCH("Pesquisa de Preços",D298)))</formula>
    </cfRule>
  </conditionalFormatting>
  <conditionalFormatting sqref="D329:D339">
    <cfRule type="containsText" dxfId="2200" priority="4084" operator="containsText" text="Pesquisa de Preços">
      <formula>NOT(ISERROR(SEARCH("Pesquisa de Preços",D329)))</formula>
    </cfRule>
  </conditionalFormatting>
  <conditionalFormatting sqref="D366:D367 D369:D370">
    <cfRule type="containsText" dxfId="2199" priority="4083" operator="containsText" text="Pesquisa de Preços">
      <formula>NOT(ISERROR(SEARCH("Pesquisa de Preços",D366)))</formula>
    </cfRule>
  </conditionalFormatting>
  <conditionalFormatting sqref="D368">
    <cfRule type="containsText" dxfId="2198" priority="4082" operator="containsText" text="Pesquisa de Preços">
      <formula>NOT(ISERROR(SEARCH("Pesquisa de Preços",D368)))</formula>
    </cfRule>
  </conditionalFormatting>
  <conditionalFormatting sqref="D372:D373 D378:D379">
    <cfRule type="containsText" dxfId="2197" priority="4081" operator="containsText" text="Pesquisa de Preços">
      <formula>NOT(ISERROR(SEARCH("Pesquisa de Preços",D372)))</formula>
    </cfRule>
  </conditionalFormatting>
  <conditionalFormatting sqref="D374:D377">
    <cfRule type="containsText" dxfId="2196" priority="4080" operator="containsText" text="Pesquisa de Preços">
      <formula>NOT(ISERROR(SEARCH("Pesquisa de Preços",D374)))</formula>
    </cfRule>
  </conditionalFormatting>
  <conditionalFormatting sqref="D402">
    <cfRule type="containsText" dxfId="2195" priority="4079" operator="containsText" text="Pesquisa de Preços">
      <formula>NOT(ISERROR(SEARCH("Pesquisa de Preços",D402)))</formula>
    </cfRule>
  </conditionalFormatting>
  <conditionalFormatting sqref="D441:D442 D444:D445">
    <cfRule type="containsText" dxfId="2194" priority="4077" operator="containsText" text="Pesquisa de Preços">
      <formula>NOT(ISERROR(SEARCH("Pesquisa de Preços",D441)))</formula>
    </cfRule>
  </conditionalFormatting>
  <conditionalFormatting sqref="D443">
    <cfRule type="containsText" dxfId="2193" priority="4076" operator="containsText" text="Pesquisa de Preços">
      <formula>NOT(ISERROR(SEARCH("Pesquisa de Preços",D443)))</formula>
    </cfRule>
  </conditionalFormatting>
  <conditionalFormatting sqref="D435:D436 D438:D439">
    <cfRule type="containsText" dxfId="2192" priority="4075" operator="containsText" text="Pesquisa de Preços">
      <formula>NOT(ISERROR(SEARCH("Pesquisa de Preços",D435)))</formula>
    </cfRule>
  </conditionalFormatting>
  <conditionalFormatting sqref="D437">
    <cfRule type="containsText" dxfId="2191" priority="4074" operator="containsText" text="Pesquisa de Preços">
      <formula>NOT(ISERROR(SEARCH("Pesquisa de Preços",D437)))</formula>
    </cfRule>
  </conditionalFormatting>
  <conditionalFormatting sqref="D455:D456 D459:D463">
    <cfRule type="containsText" dxfId="2190" priority="4073" operator="containsText" text="Pesquisa de Preços">
      <formula>NOT(ISERROR(SEARCH("Pesquisa de Preços",D455)))</formula>
    </cfRule>
  </conditionalFormatting>
  <conditionalFormatting sqref="D458">
    <cfRule type="containsText" dxfId="2189" priority="4072" operator="containsText" text="Pesquisa de Preços">
      <formula>NOT(ISERROR(SEARCH("Pesquisa de Preços",D458)))</formula>
    </cfRule>
  </conditionalFormatting>
  <conditionalFormatting sqref="D465:D466 D469:D470">
    <cfRule type="containsText" dxfId="2188" priority="4071" operator="containsText" text="Pesquisa de Preços">
      <formula>NOT(ISERROR(SEARCH("Pesquisa de Preços",D465)))</formula>
    </cfRule>
  </conditionalFormatting>
  <conditionalFormatting sqref="D468">
    <cfRule type="containsText" dxfId="2187" priority="4070" operator="containsText" text="Pesquisa de Preços">
      <formula>NOT(ISERROR(SEARCH("Pesquisa de Preços",D468)))</formula>
    </cfRule>
  </conditionalFormatting>
  <conditionalFormatting sqref="D472 D482">
    <cfRule type="containsText" dxfId="2186" priority="4069" operator="containsText" text="Pesquisa de Preços">
      <formula>NOT(ISERROR(SEARCH("Pesquisa de Preços",D472)))</formula>
    </cfRule>
  </conditionalFormatting>
  <conditionalFormatting sqref="D447 D451 D453">
    <cfRule type="containsText" dxfId="2185" priority="4068" operator="containsText" text="Pesquisa de Preços">
      <formula>NOT(ISERROR(SEARCH("Pesquisa de Preços",D447)))</formula>
    </cfRule>
  </conditionalFormatting>
  <conditionalFormatting sqref="D484:D485 D488">
    <cfRule type="containsText" dxfId="2184" priority="4067" operator="containsText" text="Pesquisa de Preços">
      <formula>NOT(ISERROR(SEARCH("Pesquisa de Preços",D484)))</formula>
    </cfRule>
  </conditionalFormatting>
  <conditionalFormatting sqref="D486">
    <cfRule type="containsText" dxfId="2183" priority="4066" operator="containsText" text="Pesquisa de Preços">
      <formula>NOT(ISERROR(SEARCH("Pesquisa de Preços",D486)))</formula>
    </cfRule>
  </conditionalFormatting>
  <conditionalFormatting sqref="D505:D506 D509:D510">
    <cfRule type="containsText" dxfId="2182" priority="4065" operator="containsText" text="Pesquisa de Preços">
      <formula>NOT(ISERROR(SEARCH("Pesquisa de Preços",D505)))</formula>
    </cfRule>
  </conditionalFormatting>
  <conditionalFormatting sqref="D507:D508">
    <cfRule type="containsText" dxfId="2181" priority="4064" operator="containsText" text="Pesquisa de Preços">
      <formula>NOT(ISERROR(SEARCH("Pesquisa de Preços",D507)))</formula>
    </cfRule>
  </conditionalFormatting>
  <conditionalFormatting sqref="D502:D503 D498:D499">
    <cfRule type="containsText" dxfId="2180" priority="4063" operator="containsText" text="Pesquisa de Preços">
      <formula>NOT(ISERROR(SEARCH("Pesquisa de Preços",D498)))</formula>
    </cfRule>
  </conditionalFormatting>
  <conditionalFormatting sqref="D500:D501">
    <cfRule type="containsText" dxfId="2179" priority="4062" operator="containsText" text="Pesquisa de Preços">
      <formula>NOT(ISERROR(SEARCH("Pesquisa de Preços",D500)))</formula>
    </cfRule>
  </conditionalFormatting>
  <conditionalFormatting sqref="D512:D513 D516">
    <cfRule type="containsText" dxfId="2178" priority="4061" operator="containsText" text="Pesquisa de Preços">
      <formula>NOT(ISERROR(SEARCH("Pesquisa de Preços",D512)))</formula>
    </cfRule>
  </conditionalFormatting>
  <conditionalFormatting sqref="D534">
    <cfRule type="containsText" dxfId="2177" priority="4058" operator="containsText" text="Pesquisa de Preços">
      <formula>NOT(ISERROR(SEARCH("Pesquisa de Preços",D534)))</formula>
    </cfRule>
  </conditionalFormatting>
  <conditionalFormatting sqref="D525:D526 D530">
    <cfRule type="containsText" dxfId="2176" priority="4056" operator="containsText" text="Pesquisa de Preços">
      <formula>NOT(ISERROR(SEARCH("Pesquisa de Preços",D525)))</formula>
    </cfRule>
  </conditionalFormatting>
  <conditionalFormatting sqref="D518 D523">
    <cfRule type="containsText" dxfId="2175" priority="4054" operator="containsText" text="Pesquisa de Preços">
      <formula>NOT(ISERROR(SEARCH("Pesquisa de Preços",D518)))</formula>
    </cfRule>
  </conditionalFormatting>
  <conditionalFormatting sqref="D546:D547 D552">
    <cfRule type="containsText" dxfId="2174" priority="4053" operator="containsText" text="Pesquisa de Preços">
      <formula>NOT(ISERROR(SEARCH("Pesquisa de Preços",D546)))</formula>
    </cfRule>
  </conditionalFormatting>
  <conditionalFormatting sqref="D548:D550">
    <cfRule type="containsText" dxfId="2173" priority="4052" operator="containsText" text="Pesquisa de Preços">
      <formula>NOT(ISERROR(SEARCH("Pesquisa de Preços",D548)))</formula>
    </cfRule>
  </conditionalFormatting>
  <conditionalFormatting sqref="D554:D555 D559:D560">
    <cfRule type="containsText" dxfId="2172" priority="4051" operator="containsText" text="Pesquisa de Preços">
      <formula>NOT(ISERROR(SEARCH("Pesquisa de Preços",D554)))</formula>
    </cfRule>
  </conditionalFormatting>
  <conditionalFormatting sqref="D557:D558">
    <cfRule type="containsText" dxfId="2171" priority="4050" operator="containsText" text="Pesquisa de Preços">
      <formula>NOT(ISERROR(SEARCH("Pesquisa de Preços",D557)))</formula>
    </cfRule>
  </conditionalFormatting>
  <conditionalFormatting sqref="D538:D539 D543:D544">
    <cfRule type="containsText" dxfId="2170" priority="4049" operator="containsText" text="Pesquisa de Preços">
      <formula>NOT(ISERROR(SEARCH("Pesquisa de Preços",D538)))</formula>
    </cfRule>
  </conditionalFormatting>
  <conditionalFormatting sqref="D540:D542">
    <cfRule type="containsText" dxfId="2169" priority="4048" operator="containsText" text="Pesquisa de Preços">
      <formula>NOT(ISERROR(SEARCH("Pesquisa de Preços",D540)))</formula>
    </cfRule>
  </conditionalFormatting>
  <conditionalFormatting sqref="D562:D563 D567:D568">
    <cfRule type="containsText" dxfId="2168" priority="4047" operator="containsText" text="Pesquisa de Preços">
      <formula>NOT(ISERROR(SEARCH("Pesquisa de Preços",D562)))</formula>
    </cfRule>
  </conditionalFormatting>
  <conditionalFormatting sqref="D564:D566">
    <cfRule type="containsText" dxfId="2167" priority="4046" operator="containsText" text="Pesquisa de Preços">
      <formula>NOT(ISERROR(SEARCH("Pesquisa de Preços",D564)))</formula>
    </cfRule>
  </conditionalFormatting>
  <conditionalFormatting sqref="D570:D571">
    <cfRule type="containsText" dxfId="2166" priority="4045" operator="containsText" text="Pesquisa de Preços">
      <formula>NOT(ISERROR(SEARCH("Pesquisa de Preços",D570)))</formula>
    </cfRule>
  </conditionalFormatting>
  <conditionalFormatting sqref="D580:D581 D584:D587">
    <cfRule type="containsText" dxfId="2165" priority="4044" operator="containsText" text="Pesquisa de Preços">
      <formula>NOT(ISERROR(SEARCH("Pesquisa de Preços",D580)))</formula>
    </cfRule>
  </conditionalFormatting>
  <conditionalFormatting sqref="D582:D583">
    <cfRule type="containsText" dxfId="2164" priority="4043" operator="containsText" text="Pesquisa de Preços">
      <formula>NOT(ISERROR(SEARCH("Pesquisa de Preços",D582)))</formula>
    </cfRule>
  </conditionalFormatting>
  <conditionalFormatting sqref="D622 D627:D628">
    <cfRule type="containsText" dxfId="2163" priority="4042" operator="containsText" text="Pesquisa de Preços">
      <formula>NOT(ISERROR(SEARCH("Pesquisa de Preços",D622)))</formula>
    </cfRule>
  </conditionalFormatting>
  <conditionalFormatting sqref="D758:D764">
    <cfRule type="containsText" dxfId="2162" priority="4027" operator="containsText" text="Pesquisa de Preços">
      <formula>NOT(ISERROR(SEARCH("Pesquisa de Preços",D758)))</formula>
    </cfRule>
  </conditionalFormatting>
  <conditionalFormatting sqref="D689:D691">
    <cfRule type="containsText" dxfId="2161" priority="4038" operator="containsText" text="Pesquisa de Preços">
      <formula>NOT(ISERROR(SEARCH("Pesquisa de Preços",D689)))</formula>
    </cfRule>
  </conditionalFormatting>
  <conditionalFormatting sqref="D724">
    <cfRule type="containsText" dxfId="2160" priority="4035" operator="containsText" text="Pesquisa de Preços">
      <formula>NOT(ISERROR(SEARCH("Pesquisa de Preços",D724)))</formula>
    </cfRule>
  </conditionalFormatting>
  <conditionalFormatting sqref="D767">
    <cfRule type="containsText" dxfId="2159" priority="4022" operator="containsText" text="Pesquisa de Preços">
      <formula>NOT(ISERROR(SEARCH("Pesquisa de Preços",D767)))</formula>
    </cfRule>
  </conditionalFormatting>
  <conditionalFormatting sqref="D745:D746">
    <cfRule type="containsText" dxfId="2158" priority="4034" operator="containsText" text="Pesquisa de Preços">
      <formula>NOT(ISERROR(SEARCH("Pesquisa de Preços",D745)))</formula>
    </cfRule>
  </conditionalFormatting>
  <conditionalFormatting sqref="D751:D752">
    <cfRule type="containsText" dxfId="2157" priority="4029" operator="containsText" text="Pesquisa de Preços">
      <formula>NOT(ISERROR(SEARCH("Pesquisa de Preços",D751)))</formula>
    </cfRule>
  </conditionalFormatting>
  <conditionalFormatting sqref="D944">
    <cfRule type="containsText" dxfId="2156" priority="4009" operator="containsText" text="Pesquisa de Preços">
      <formula>NOT(ISERROR(SEARCH("Pesquisa de Preços",D944)))</formula>
    </cfRule>
  </conditionalFormatting>
  <conditionalFormatting sqref="D819 D822">
    <cfRule type="containsText" dxfId="2155" priority="4023" operator="containsText" text="Pesquisa de Preços">
      <formula>NOT(ISERROR(SEARCH("Pesquisa de Preços",D819)))</formula>
    </cfRule>
  </conditionalFormatting>
  <conditionalFormatting sqref="D980:D984">
    <cfRule type="containsText" dxfId="2154" priority="4005" operator="containsText" text="Pesquisa de Preços">
      <formula>NOT(ISERROR(SEARCH("Pesquisa de Preços",D980)))</formula>
    </cfRule>
  </conditionalFormatting>
  <conditionalFormatting sqref="D184:D185">
    <cfRule type="containsText" dxfId="2153" priority="4021" operator="containsText" text="Pesquisa de Preços">
      <formula>NOT(ISERROR(SEARCH("Pesquisa de Preços",D184)))</formula>
    </cfRule>
  </conditionalFormatting>
  <conditionalFormatting sqref="D1012:D1014">
    <cfRule type="containsText" dxfId="2152" priority="4001" operator="containsText" text="Pesquisa de Preços">
      <formula>NOT(ISERROR(SEARCH("Pesquisa de Preços",D1012)))</formula>
    </cfRule>
  </conditionalFormatting>
  <conditionalFormatting sqref="D186:D188">
    <cfRule type="containsText" dxfId="2151" priority="4020" operator="containsText" text="Pesquisa de Preços">
      <formula>NOT(ISERROR(SEARCH("Pesquisa de Preços",D186)))</formula>
    </cfRule>
  </conditionalFormatting>
  <conditionalFormatting sqref="D840 D843:D844">
    <cfRule type="containsText" dxfId="2150" priority="4019" operator="containsText" text="Pesquisa de Preços">
      <formula>NOT(ISERROR(SEARCH("Pesquisa de Preços",D840)))</formula>
    </cfRule>
  </conditionalFormatting>
  <conditionalFormatting sqref="D842">
    <cfRule type="containsText" dxfId="2149" priority="4018" operator="containsText" text="Pesquisa de Preços">
      <formula>NOT(ISERROR(SEARCH("Pesquisa de Preços",D842)))</formula>
    </cfRule>
  </conditionalFormatting>
  <conditionalFormatting sqref="D910:D915">
    <cfRule type="containsText" dxfId="2148" priority="4017" operator="containsText" text="Pesquisa de Preços">
      <formula>NOT(ISERROR(SEARCH("Pesquisa de Preços",D910)))</formula>
    </cfRule>
  </conditionalFormatting>
  <conditionalFormatting sqref="D935:D940">
    <cfRule type="containsText" dxfId="2147" priority="4016" operator="containsText" text="Pesquisa de Preços">
      <formula>NOT(ISERROR(SEARCH("Pesquisa de Preços",D935)))</formula>
    </cfRule>
  </conditionalFormatting>
  <conditionalFormatting sqref="D926">
    <cfRule type="containsText" dxfId="2146" priority="4015" operator="containsText" text="Pesquisa de Preços">
      <formula>NOT(ISERROR(SEARCH("Pesquisa de Preços",D926)))</formula>
    </cfRule>
  </conditionalFormatting>
  <conditionalFormatting sqref="D919 D924">
    <cfRule type="containsText" dxfId="2145" priority="4014" operator="containsText" text="Pesquisa de Preços">
      <formula>NOT(ISERROR(SEARCH("Pesquisa de Preços",D919)))</formula>
    </cfRule>
  </conditionalFormatting>
  <conditionalFormatting sqref="D965:D966">
    <cfRule type="containsText" dxfId="2144" priority="4012" operator="containsText" text="Pesquisa de Preços">
      <formula>NOT(ISERROR(SEARCH("Pesquisa de Preços",D965)))</formula>
    </cfRule>
  </conditionalFormatting>
  <conditionalFormatting sqref="D963:D964">
    <cfRule type="containsText" dxfId="2143" priority="4013" operator="containsText" text="Pesquisa de Preços">
      <formula>NOT(ISERROR(SEARCH("Pesquisa de Preços",D963)))</formula>
    </cfRule>
  </conditionalFormatting>
  <conditionalFormatting sqref="D956">
    <cfRule type="containsText" dxfId="2142" priority="4011" operator="containsText" text="Pesquisa de Preços">
      <formula>NOT(ISERROR(SEARCH("Pesquisa de Preços",D956)))</formula>
    </cfRule>
  </conditionalFormatting>
  <conditionalFormatting sqref="D950 D954">
    <cfRule type="containsText" dxfId="2141" priority="4010" operator="containsText" text="Pesquisa de Preços">
      <formula>NOT(ISERROR(SEARCH("Pesquisa de Preços",D950)))</formula>
    </cfRule>
  </conditionalFormatting>
  <conditionalFormatting sqref="D970:D971 D974:D975">
    <cfRule type="containsText" dxfId="2140" priority="4008" operator="containsText" text="Pesquisa de Preços">
      <formula>NOT(ISERROR(SEARCH("Pesquisa de Preços",D970)))</formula>
    </cfRule>
  </conditionalFormatting>
  <conditionalFormatting sqref="D972">
    <cfRule type="containsText" dxfId="2139" priority="4007" operator="containsText" text="Pesquisa de Preços">
      <formula>NOT(ISERROR(SEARCH("Pesquisa de Preços",D972)))</formula>
    </cfRule>
  </conditionalFormatting>
  <conditionalFormatting sqref="D977:D978 D985:D986">
    <cfRule type="containsText" dxfId="2138" priority="4006" operator="containsText" text="Pesquisa de Preços">
      <formula>NOT(ISERROR(SEARCH("Pesquisa de Preços",D977)))</formula>
    </cfRule>
  </conditionalFormatting>
  <conditionalFormatting sqref="D988:D989 D996:D997">
    <cfRule type="containsText" dxfId="2137" priority="4004" operator="containsText" text="Pesquisa de Preços">
      <formula>NOT(ISERROR(SEARCH("Pesquisa de Preços",D988)))</formula>
    </cfRule>
  </conditionalFormatting>
  <conditionalFormatting sqref="D991:D992 D994:D995">
    <cfRule type="containsText" dxfId="2136" priority="4003" operator="containsText" text="Pesquisa de Preços">
      <formula>NOT(ISERROR(SEARCH("Pesquisa de Preços",D991)))</formula>
    </cfRule>
  </conditionalFormatting>
  <conditionalFormatting sqref="D1009:D1010 D1015:D1016">
    <cfRule type="containsText" dxfId="2135" priority="4002" operator="containsText" text="Pesquisa de Preços">
      <formula>NOT(ISERROR(SEARCH("Pesquisa de Preços",D1009)))</formula>
    </cfRule>
  </conditionalFormatting>
  <conditionalFormatting sqref="D999:D1000">
    <cfRule type="containsText" dxfId="2134" priority="4000" operator="containsText" text="Pesquisa de Preços">
      <formula>NOT(ISERROR(SEARCH("Pesquisa de Preços",D999)))</formula>
    </cfRule>
  </conditionalFormatting>
  <conditionalFormatting sqref="D1004:D1005">
    <cfRule type="containsText" dxfId="2133" priority="3999" operator="containsText" text="Pesquisa de Preços">
      <formula>NOT(ISERROR(SEARCH("Pesquisa de Preços",D1004)))</formula>
    </cfRule>
  </conditionalFormatting>
  <conditionalFormatting sqref="D1023:D1024 D1031">
    <cfRule type="containsText" dxfId="2132" priority="3998" operator="containsText" text="Pesquisa de Preços">
      <formula>NOT(ISERROR(SEARCH("Pesquisa de Preços",D1023)))</formula>
    </cfRule>
  </conditionalFormatting>
  <conditionalFormatting sqref="D1026:D1028">
    <cfRule type="containsText" dxfId="2131" priority="3997" operator="containsText" text="Pesquisa de Preços">
      <formula>NOT(ISERROR(SEARCH("Pesquisa de Preços",D1026)))</formula>
    </cfRule>
  </conditionalFormatting>
  <conditionalFormatting sqref="D1033:D1034 D1039:D1040">
    <cfRule type="containsText" dxfId="2130" priority="3996" operator="containsText" text="Pesquisa de Preços">
      <formula>NOT(ISERROR(SEARCH("Pesquisa de Preços",D1033)))</formula>
    </cfRule>
  </conditionalFormatting>
  <conditionalFormatting sqref="D1018:D1019">
    <cfRule type="containsText" dxfId="2129" priority="3995" operator="containsText" text="Pesquisa de Preços">
      <formula>NOT(ISERROR(SEARCH("Pesquisa de Preços",D1018)))</formula>
    </cfRule>
  </conditionalFormatting>
  <conditionalFormatting sqref="D1020">
    <cfRule type="containsText" dxfId="2128" priority="3994" operator="containsText" text="Pesquisa de Preços">
      <formula>NOT(ISERROR(SEARCH("Pesquisa de Preços",D1020)))</formula>
    </cfRule>
  </conditionalFormatting>
  <conditionalFormatting sqref="D1095:D1096 D1103">
    <cfRule type="containsText" dxfId="2127" priority="3993" operator="containsText" text="Pesquisa de Preços">
      <formula>NOT(ISERROR(SEARCH("Pesquisa de Preços",D1095)))</formula>
    </cfRule>
  </conditionalFormatting>
  <conditionalFormatting sqref="D1042:D1043 D1046:D1047">
    <cfRule type="containsText" dxfId="2126" priority="3992" operator="containsText" text="Pesquisa de Preços">
      <formula>NOT(ISERROR(SEARCH("Pesquisa de Preços",D1042)))</formula>
    </cfRule>
  </conditionalFormatting>
  <conditionalFormatting sqref="D1044:D1045">
    <cfRule type="containsText" dxfId="2125" priority="3991" operator="containsText" text="Pesquisa de Preços">
      <formula>NOT(ISERROR(SEARCH("Pesquisa de Preços",D1044)))</formula>
    </cfRule>
  </conditionalFormatting>
  <conditionalFormatting sqref="D1056:D1057 D1061">
    <cfRule type="containsText" dxfId="2124" priority="3990" operator="containsText" text="Pesquisa de Preços">
      <formula>NOT(ISERROR(SEARCH("Pesquisa de Preços",D1056)))</formula>
    </cfRule>
  </conditionalFormatting>
  <conditionalFormatting sqref="D1087:D1088 D1093">
    <cfRule type="containsText" dxfId="2123" priority="3989" operator="containsText" text="Pesquisa de Preços">
      <formula>NOT(ISERROR(SEARCH("Pesquisa de Preços",D1087)))</formula>
    </cfRule>
  </conditionalFormatting>
  <conditionalFormatting sqref="D1049:D1050">
    <cfRule type="containsText" dxfId="2122" priority="3987" operator="containsText" text="Pesquisa de Preços">
      <formula>NOT(ISERROR(SEARCH("Pesquisa de Preços",D1049)))</formula>
    </cfRule>
  </conditionalFormatting>
  <conditionalFormatting sqref="D1051:D1053">
    <cfRule type="containsText" dxfId="2121" priority="3986" operator="containsText" text="Pesquisa de Preços">
      <formula>NOT(ISERROR(SEARCH("Pesquisa de Preços",D1051)))</formula>
    </cfRule>
  </conditionalFormatting>
  <conditionalFormatting sqref="D1063">
    <cfRule type="containsText" dxfId="2120" priority="3985" operator="containsText" text="Pesquisa de Preços">
      <formula>NOT(ISERROR(SEARCH("Pesquisa de Preços",D1063)))</formula>
    </cfRule>
  </conditionalFormatting>
  <conditionalFormatting sqref="D1079 D1085">
    <cfRule type="containsText" dxfId="2119" priority="3984" operator="containsText" text="Pesquisa de Preços">
      <formula>NOT(ISERROR(SEARCH("Pesquisa de Preços",D1079)))</formula>
    </cfRule>
  </conditionalFormatting>
  <conditionalFormatting sqref="D1070 D1077">
    <cfRule type="containsText" dxfId="2118" priority="3983" operator="containsText" text="Pesquisa de Preços">
      <formula>NOT(ISERROR(SEARCH("Pesquisa de Preços",D1070)))</formula>
    </cfRule>
  </conditionalFormatting>
  <conditionalFormatting sqref="D1118:D1119">
    <cfRule type="containsText" dxfId="2117" priority="3982" operator="containsText" text="Pesquisa de Preços">
      <formula>NOT(ISERROR(SEARCH("Pesquisa de Preços",D1118)))</formula>
    </cfRule>
  </conditionalFormatting>
  <conditionalFormatting sqref="D1113:D1114">
    <cfRule type="containsText" dxfId="2116" priority="3981" operator="containsText" text="Pesquisa de Preços">
      <formula>NOT(ISERROR(SEARCH("Pesquisa de Preços",D1113)))</formula>
    </cfRule>
  </conditionalFormatting>
  <conditionalFormatting sqref="D1239:D1240 D1244">
    <cfRule type="containsText" dxfId="2115" priority="3980" operator="containsText" text="Pesquisa de Preços">
      <formula>NOT(ISERROR(SEARCH("Pesquisa de Preços",D1239)))</formula>
    </cfRule>
  </conditionalFormatting>
  <conditionalFormatting sqref="D1232:D1233 D1237">
    <cfRule type="containsText" dxfId="2114" priority="3979" operator="containsText" text="Pesquisa de Preços">
      <formula>NOT(ISERROR(SEARCH("Pesquisa de Preços",D1232)))</formula>
    </cfRule>
  </conditionalFormatting>
  <conditionalFormatting sqref="D1225:D1226 D1230">
    <cfRule type="containsText" dxfId="2113" priority="3978" operator="containsText" text="Pesquisa de Preços">
      <formula>NOT(ISERROR(SEARCH("Pesquisa de Preços",D1225)))</formula>
    </cfRule>
  </conditionalFormatting>
  <conditionalFormatting sqref="D1218:D1219 D1223">
    <cfRule type="containsText" dxfId="2112" priority="3977" operator="containsText" text="Pesquisa de Preços">
      <formula>NOT(ISERROR(SEARCH("Pesquisa de Preços",D1218)))</formula>
    </cfRule>
  </conditionalFormatting>
  <conditionalFormatting sqref="D1134:D1135 D1138:D1139">
    <cfRule type="containsText" dxfId="2111" priority="3976" operator="containsText" text="Pesquisa de Preços">
      <formula>NOT(ISERROR(SEARCH("Pesquisa de Preços",D1134)))</formula>
    </cfRule>
  </conditionalFormatting>
  <conditionalFormatting sqref="D1123:D1124 D1126:D1127">
    <cfRule type="containsText" dxfId="2110" priority="3975" operator="containsText" text="Pesquisa de Preços">
      <formula>NOT(ISERROR(SEARCH("Pesquisa de Preços",D1123)))</formula>
    </cfRule>
  </conditionalFormatting>
  <conditionalFormatting sqref="D1260 D1265">
    <cfRule type="containsText" dxfId="2109" priority="3974" operator="containsText" text="Pesquisa de Preços">
      <formula>NOT(ISERROR(SEARCH("Pesquisa de Preços",D1260)))</formula>
    </cfRule>
  </conditionalFormatting>
  <conditionalFormatting sqref="D1246:D1247 D1250:D1251">
    <cfRule type="containsText" dxfId="2108" priority="3973" operator="containsText" text="Pesquisa de Preços">
      <formula>NOT(ISERROR(SEARCH("Pesquisa de Preços",D1246)))</formula>
    </cfRule>
  </conditionalFormatting>
  <conditionalFormatting sqref="D1148:D1149 D1152:D1153">
    <cfRule type="containsText" dxfId="2107" priority="3972" operator="containsText" text="Pesquisa de Preços">
      <formula>NOT(ISERROR(SEARCH("Pesquisa de Preços",D1148)))</formula>
    </cfRule>
  </conditionalFormatting>
  <conditionalFormatting sqref="D1183:D1184 D1187:D1188">
    <cfRule type="containsText" dxfId="2106" priority="3971" operator="containsText" text="Pesquisa de Preços">
      <formula>NOT(ISERROR(SEARCH("Pesquisa de Preços",D1183)))</formula>
    </cfRule>
  </conditionalFormatting>
  <conditionalFormatting sqref="D1190:D1191 D1194:D1195">
    <cfRule type="containsText" dxfId="2105" priority="3970" operator="containsText" text="Pesquisa de Preços">
      <formula>NOT(ISERROR(SEARCH("Pesquisa de Preços",D1190)))</formula>
    </cfRule>
  </conditionalFormatting>
  <conditionalFormatting sqref="D1197:D1198 D1201:D1202">
    <cfRule type="containsText" dxfId="2104" priority="3969" operator="containsText" text="Pesquisa de Preços">
      <formula>NOT(ISERROR(SEARCH("Pesquisa de Preços",D1197)))</formula>
    </cfRule>
  </conditionalFormatting>
  <conditionalFormatting sqref="D1176:D1177 D1180:D1181">
    <cfRule type="containsText" dxfId="2103" priority="3968" operator="containsText" text="Pesquisa de Preços">
      <formula>NOT(ISERROR(SEARCH("Pesquisa de Preços",D1176)))</formula>
    </cfRule>
  </conditionalFormatting>
  <conditionalFormatting sqref="D1141:D1142 D1146">
    <cfRule type="containsText" dxfId="2102" priority="3967" operator="containsText" text="Pesquisa de Preços">
      <formula>NOT(ISERROR(SEARCH("Pesquisa de Preços",D1141)))</formula>
    </cfRule>
  </conditionalFormatting>
  <conditionalFormatting sqref="D1144">
    <cfRule type="containsText" dxfId="2101" priority="3966" operator="containsText" text="Pesquisa de Preços">
      <formula>NOT(ISERROR(SEARCH("Pesquisa de Preços",D1144)))</formula>
    </cfRule>
  </conditionalFormatting>
  <conditionalFormatting sqref="D1162:D1163 D1166:D1167">
    <cfRule type="containsText" dxfId="2100" priority="3965" operator="containsText" text="Pesquisa de Preços">
      <formula>NOT(ISERROR(SEARCH("Pesquisa de Preços",D1162)))</formula>
    </cfRule>
  </conditionalFormatting>
  <conditionalFormatting sqref="D1169 D1174">
    <cfRule type="containsText" dxfId="2099" priority="3964" operator="containsText" text="Pesquisa de Preços">
      <formula>NOT(ISERROR(SEARCH("Pesquisa de Preços",D1169)))</formula>
    </cfRule>
  </conditionalFormatting>
  <conditionalFormatting sqref="D1204:D1205 D1209">
    <cfRule type="containsText" dxfId="2098" priority="3963" operator="containsText" text="Pesquisa de Preços">
      <formula>NOT(ISERROR(SEARCH("Pesquisa de Preços",D1204)))</formula>
    </cfRule>
  </conditionalFormatting>
  <conditionalFormatting sqref="D1129">
    <cfRule type="containsText" dxfId="2097" priority="3962" operator="containsText" text="Pesquisa de Preços">
      <formula>NOT(ISERROR(SEARCH("Pesquisa de Preços",D1129)))</formula>
    </cfRule>
  </conditionalFormatting>
  <conditionalFormatting sqref="D1267:D1268 D1270:D1271">
    <cfRule type="containsText" dxfId="2096" priority="3961" operator="containsText" text="Pesquisa de Preços">
      <formula>NOT(ISERROR(SEARCH("Pesquisa de Preços",D1267)))</formula>
    </cfRule>
  </conditionalFormatting>
  <conditionalFormatting sqref="D1269">
    <cfRule type="containsText" dxfId="2095" priority="3960" operator="containsText" text="Pesquisa de Preços">
      <formula>NOT(ISERROR(SEARCH("Pesquisa de Preços",D1269)))</formula>
    </cfRule>
  </conditionalFormatting>
  <conditionalFormatting sqref="D1301:D1302 D1306:D1307">
    <cfRule type="containsText" dxfId="2094" priority="3959" operator="containsText" text="Pesquisa de Preços">
      <formula>NOT(ISERROR(SEARCH("Pesquisa de Preços",D1301)))</formula>
    </cfRule>
  </conditionalFormatting>
  <conditionalFormatting sqref="D1303:D1304">
    <cfRule type="containsText" dxfId="2093" priority="3958" operator="containsText" text="Pesquisa de Preços">
      <formula>NOT(ISERROR(SEARCH("Pesquisa de Preços",D1303)))</formula>
    </cfRule>
  </conditionalFormatting>
  <conditionalFormatting sqref="D1309 D1315:D1316">
    <cfRule type="containsText" dxfId="2092" priority="3957" operator="containsText" text="Pesquisa de Preços">
      <formula>NOT(ISERROR(SEARCH("Pesquisa de Preços",D1309)))</formula>
    </cfRule>
  </conditionalFormatting>
  <conditionalFormatting sqref="D1397:D1398 D1401:D1402">
    <cfRule type="containsText" dxfId="2091" priority="3941" operator="containsText" text="Pesquisa de Preços">
      <formula>NOT(ISERROR(SEARCH("Pesquisa de Preços",D1397)))</formula>
    </cfRule>
  </conditionalFormatting>
  <conditionalFormatting sqref="D1273:D1274">
    <cfRule type="containsText" dxfId="2090" priority="3956" operator="containsText" text="Pesquisa de Preços">
      <formula>NOT(ISERROR(SEARCH("Pesquisa de Preços",D1273)))</formula>
    </cfRule>
  </conditionalFormatting>
  <conditionalFormatting sqref="D1275:D1277">
    <cfRule type="containsText" dxfId="2089" priority="3955" operator="containsText" text="Pesquisa de Preços">
      <formula>NOT(ISERROR(SEARCH("Pesquisa de Preços",D1275)))</formula>
    </cfRule>
  </conditionalFormatting>
  <conditionalFormatting sqref="D1280:D1281 D1285">
    <cfRule type="containsText" dxfId="2088" priority="3954" operator="containsText" text="Pesquisa de Preços">
      <formula>NOT(ISERROR(SEARCH("Pesquisa de Preços",D1280)))</formula>
    </cfRule>
  </conditionalFormatting>
  <conditionalFormatting sqref="D1287:D1288 D1292">
    <cfRule type="containsText" dxfId="2087" priority="3953" operator="containsText" text="Pesquisa de Preços">
      <formula>NOT(ISERROR(SEARCH("Pesquisa de Preços",D1287)))</formula>
    </cfRule>
  </conditionalFormatting>
  <conditionalFormatting sqref="D1294 D1297 D1299">
    <cfRule type="containsText" dxfId="2086" priority="3952" operator="containsText" text="Pesquisa de Preços">
      <formula>NOT(ISERROR(SEARCH("Pesquisa de Preços",D1294)))</formula>
    </cfRule>
  </conditionalFormatting>
  <conditionalFormatting sqref="D1375">
    <cfRule type="containsText" dxfId="2085" priority="3934" operator="containsText" text="Pesquisa de Preços">
      <formula>NOT(ISERROR(SEARCH("Pesquisa de Preços",D1375)))</formula>
    </cfRule>
  </conditionalFormatting>
  <conditionalFormatting sqref="D1329:D1330">
    <cfRule type="containsText" dxfId="2084" priority="3950" operator="containsText" text="Pesquisa de Preços">
      <formula>NOT(ISERROR(SEARCH("Pesquisa de Preços",D1329)))</formula>
    </cfRule>
  </conditionalFormatting>
  <conditionalFormatting sqref="D1335:D1336">
    <cfRule type="containsText" dxfId="2083" priority="3951" operator="containsText" text="Pesquisa de Preços">
      <formula>NOT(ISERROR(SEARCH("Pesquisa de Preços",D1335)))</formula>
    </cfRule>
  </conditionalFormatting>
  <conditionalFormatting sqref="D1318:D1319">
    <cfRule type="containsText" dxfId="2082" priority="3948" operator="containsText" text="Pesquisa de Preços">
      <formula>NOT(ISERROR(SEARCH("Pesquisa de Preços",D1318)))</formula>
    </cfRule>
  </conditionalFormatting>
  <conditionalFormatting sqref="D1323:D1324">
    <cfRule type="containsText" dxfId="2081" priority="3949" operator="containsText" text="Pesquisa de Preços">
      <formula>NOT(ISERROR(SEARCH("Pesquisa de Preços",D1323)))</formula>
    </cfRule>
  </conditionalFormatting>
  <conditionalFormatting sqref="D1341:D1342 D1345:D1346">
    <cfRule type="containsText" dxfId="2080" priority="3947" operator="containsText" text="Pesquisa de Preços">
      <formula>NOT(ISERROR(SEARCH("Pesquisa de Preços",D1341)))</formula>
    </cfRule>
  </conditionalFormatting>
  <conditionalFormatting sqref="D1515">
    <cfRule type="containsText" dxfId="2079" priority="3926" operator="containsText" text="Pesquisa de Preços">
      <formula>NOT(ISERROR(SEARCH("Pesquisa de Preços",D1515)))</formula>
    </cfRule>
  </conditionalFormatting>
  <conditionalFormatting sqref="D1343:D1344">
    <cfRule type="containsText" dxfId="2078" priority="3946" operator="containsText" text="Pesquisa de Preços">
      <formula>NOT(ISERROR(SEARCH("Pesquisa de Preços",D1343)))</formula>
    </cfRule>
  </conditionalFormatting>
  <conditionalFormatting sqref="D1354:D1355 D1358:D1359">
    <cfRule type="containsText" dxfId="2077" priority="3945" operator="containsText" text="Pesquisa de Preços">
      <formula>NOT(ISERROR(SEARCH("Pesquisa de Preços",D1354)))</formula>
    </cfRule>
  </conditionalFormatting>
  <conditionalFormatting sqref="D1523">
    <cfRule type="containsText" dxfId="2076" priority="3927" operator="containsText" text="Pesquisa de Preços">
      <formula>NOT(ISERROR(SEARCH("Pesquisa de Preços",D1523)))</formula>
    </cfRule>
  </conditionalFormatting>
  <conditionalFormatting sqref="D1356:D1357">
    <cfRule type="containsText" dxfId="2075" priority="3944" operator="containsText" text="Pesquisa de Preços">
      <formula>NOT(ISERROR(SEARCH("Pesquisa de Preços",D1356)))</formula>
    </cfRule>
  </conditionalFormatting>
  <conditionalFormatting sqref="D1348 D1351:D1352">
    <cfRule type="containsText" dxfId="2074" priority="3943" operator="containsText" text="Pesquisa de Preços">
      <formula>NOT(ISERROR(SEARCH("Pesquisa de Preços",D1348)))</formula>
    </cfRule>
  </conditionalFormatting>
  <conditionalFormatting sqref="D1361 D1364:D1365">
    <cfRule type="containsText" dxfId="2073" priority="3942" operator="containsText" text="Pesquisa de Preços">
      <formula>NOT(ISERROR(SEARCH("Pesquisa de Preços",D1361)))</formula>
    </cfRule>
  </conditionalFormatting>
  <conditionalFormatting sqref="D1399:D1400">
    <cfRule type="containsText" dxfId="2072" priority="3940" operator="containsText" text="Pesquisa de Preços">
      <formula>NOT(ISERROR(SEARCH("Pesquisa de Preços",D1399)))</formula>
    </cfRule>
  </conditionalFormatting>
  <conditionalFormatting sqref="D1388:D1389 D1385:D1386">
    <cfRule type="containsText" dxfId="2071" priority="3939" operator="containsText" text="Pesquisa de Preços">
      <formula>NOT(ISERROR(SEARCH("Pesquisa de Preços",D1385)))</formula>
    </cfRule>
  </conditionalFormatting>
  <conditionalFormatting sqref="D1387">
    <cfRule type="containsText" dxfId="2070" priority="3938" operator="containsText" text="Pesquisa de Preços">
      <formula>NOT(ISERROR(SEARCH("Pesquisa de Preços",D1387)))</formula>
    </cfRule>
  </conditionalFormatting>
  <conditionalFormatting sqref="D1367:D1368 D1370:D1371">
    <cfRule type="containsText" dxfId="2069" priority="3937" operator="containsText" text="Pesquisa de Preços">
      <formula>NOT(ISERROR(SEARCH("Pesquisa de Preços",D1367)))</formula>
    </cfRule>
  </conditionalFormatting>
  <conditionalFormatting sqref="D1369">
    <cfRule type="containsText" dxfId="2068" priority="3936" operator="containsText" text="Pesquisa de Preços">
      <formula>NOT(ISERROR(SEARCH("Pesquisa de Preços",D1369)))</formula>
    </cfRule>
  </conditionalFormatting>
  <conditionalFormatting sqref="D1373:D1374 D1376:D1377">
    <cfRule type="containsText" dxfId="2067" priority="3935" operator="containsText" text="Pesquisa de Preços">
      <formula>NOT(ISERROR(SEARCH("Pesquisa de Preços",D1373)))</formula>
    </cfRule>
  </conditionalFormatting>
  <conditionalFormatting sqref="D1379 D1382:D1383">
    <cfRule type="containsText" dxfId="2066" priority="3933" operator="containsText" text="Pesquisa de Preços">
      <formula>NOT(ISERROR(SEARCH("Pesquisa de Preços",D1379)))</formula>
    </cfRule>
  </conditionalFormatting>
  <conditionalFormatting sqref="D1404 D1417">
    <cfRule type="containsText" dxfId="2065" priority="3919" operator="containsText" text="Pesquisa de Preços">
      <formula>NOT(ISERROR(SEARCH("Pesquisa de Preços",D1404)))</formula>
    </cfRule>
  </conditionalFormatting>
  <conditionalFormatting sqref="D1556:D1557">
    <cfRule type="containsText" dxfId="2064" priority="3932" operator="containsText" text="Pesquisa de Preços">
      <formula>NOT(ISERROR(SEARCH("Pesquisa de Preços",D1556)))</formula>
    </cfRule>
  </conditionalFormatting>
  <conditionalFormatting sqref="D1558 D1560">
    <cfRule type="containsText" dxfId="2063" priority="3931" operator="containsText" text="Pesquisa de Preços">
      <formula>NOT(ISERROR(SEARCH("Pesquisa de Preços",D1558)))</formula>
    </cfRule>
  </conditionalFormatting>
  <conditionalFormatting sqref="D1549:D1550">
    <cfRule type="containsText" dxfId="2062" priority="3930" operator="containsText" text="Pesquisa de Preços">
      <formula>NOT(ISERROR(SEARCH("Pesquisa de Preços",D1549)))</formula>
    </cfRule>
  </conditionalFormatting>
  <conditionalFormatting sqref="D1541 D1547">
    <cfRule type="containsText" dxfId="2061" priority="3929" operator="containsText" text="Pesquisa de Preços">
      <formula>NOT(ISERROR(SEARCH("Pesquisa de Preços",D1541)))</formula>
    </cfRule>
  </conditionalFormatting>
  <conditionalFormatting sqref="D1525">
    <cfRule type="containsText" dxfId="2060" priority="3928" operator="containsText" text="Pesquisa de Preços">
      <formula>NOT(ISERROR(SEARCH("Pesquisa de Preços",D1525)))</formula>
    </cfRule>
  </conditionalFormatting>
  <conditionalFormatting sqref="D1563:D1564 D1567:D1568">
    <cfRule type="containsText" dxfId="2059" priority="3922" operator="containsText" text="Pesquisa de Preços">
      <formula>NOT(ISERROR(SEARCH("Pesquisa de Preços",D1563)))</formula>
    </cfRule>
  </conditionalFormatting>
  <conditionalFormatting sqref="D1492">
    <cfRule type="containsText" dxfId="2058" priority="3914" operator="containsText" text="Pesquisa de Preços">
      <formula>NOT(ISERROR(SEARCH("Pesquisa de Preços",D1492)))</formula>
    </cfRule>
  </conditionalFormatting>
  <conditionalFormatting sqref="D1494 D1507">
    <cfRule type="containsText" dxfId="2057" priority="3920" operator="containsText" text="Pesquisa de Preços">
      <formula>NOT(ISERROR(SEARCH("Pesquisa de Preços",D1494)))</formula>
    </cfRule>
  </conditionalFormatting>
  <conditionalFormatting sqref="D1539">
    <cfRule type="containsText" dxfId="2056" priority="3925" operator="containsText" text="Pesquisa de Preços">
      <formula>NOT(ISERROR(SEARCH("Pesquisa de Preços",D1539)))</formula>
    </cfRule>
  </conditionalFormatting>
  <conditionalFormatting sqref="D1570:D1571 D1574:D1575">
    <cfRule type="containsText" dxfId="2055" priority="3924" operator="containsText" text="Pesquisa de Preços">
      <formula>NOT(ISERROR(SEARCH("Pesquisa de Preços",D1570)))</formula>
    </cfRule>
  </conditionalFormatting>
  <conditionalFormatting sqref="D1573">
    <cfRule type="containsText" dxfId="2054" priority="3923" operator="containsText" text="Pesquisa de Preços">
      <formula>NOT(ISERROR(SEARCH("Pesquisa de Preços",D1573)))</formula>
    </cfRule>
  </conditionalFormatting>
  <conditionalFormatting sqref="D1565:D1566">
    <cfRule type="containsText" dxfId="2053" priority="3921" operator="containsText" text="Pesquisa de Preços">
      <formula>NOT(ISERROR(SEARCH("Pesquisa de Preços",D1565)))</formula>
    </cfRule>
  </conditionalFormatting>
  <conditionalFormatting sqref="D1610 D1614:D1615">
    <cfRule type="containsText" dxfId="2052" priority="3897" operator="containsText" text="Pesquisa de Preços">
      <formula>NOT(ISERROR(SEARCH("Pesquisa de Preços",D1610)))</formula>
    </cfRule>
  </conditionalFormatting>
  <conditionalFormatting sqref="D1434 D1447">
    <cfRule type="containsText" dxfId="2051" priority="3918" operator="containsText" text="Pesquisa de Preços">
      <formula>NOT(ISERROR(SEARCH("Pesquisa de Preços",D1434)))</formula>
    </cfRule>
  </conditionalFormatting>
  <conditionalFormatting sqref="D1628 D1632">
    <cfRule type="containsText" dxfId="2050" priority="3903" operator="containsText" text="Pesquisa de Preços">
      <formula>NOT(ISERROR(SEARCH("Pesquisa de Preços",D1628)))</formula>
    </cfRule>
  </conditionalFormatting>
  <conditionalFormatting sqref="D1419 D1432">
    <cfRule type="containsText" dxfId="2049" priority="3917" operator="containsText" text="Pesquisa de Preços">
      <formula>NOT(ISERROR(SEARCH("Pesquisa de Preços",D1419)))</formula>
    </cfRule>
  </conditionalFormatting>
  <conditionalFormatting sqref="D1464 D1477">
    <cfRule type="containsText" dxfId="2048" priority="3916" operator="containsText" text="Pesquisa de Preços">
      <formula>NOT(ISERROR(SEARCH("Pesquisa de Preços",D1464)))</formula>
    </cfRule>
  </conditionalFormatting>
  <conditionalFormatting sqref="D1691 D1694:D1696">
    <cfRule type="containsText" dxfId="2047" priority="3904" operator="containsText" text="Pesquisa de Preços">
      <formula>NOT(ISERROR(SEARCH("Pesquisa de Preços",D1691)))</formula>
    </cfRule>
  </conditionalFormatting>
  <conditionalFormatting sqref="D1462">
    <cfRule type="containsText" dxfId="2046" priority="3915" operator="containsText" text="Pesquisa de Preços">
      <formula>NOT(ISERROR(SEARCH("Pesquisa de Preços",D1462)))</formula>
    </cfRule>
  </conditionalFormatting>
  <conditionalFormatting sqref="D1592 D1596">
    <cfRule type="containsText" dxfId="2045" priority="3909" operator="containsText" text="Pesquisa de Preços">
      <formula>NOT(ISERROR(SEARCH("Pesquisa de Preços",D1592)))</formula>
    </cfRule>
  </conditionalFormatting>
  <conditionalFormatting sqref="D1577:D1578 D1589:D1590">
    <cfRule type="containsText" dxfId="2044" priority="3913" operator="containsText" text="Pesquisa de Preços">
      <formula>NOT(ISERROR(SEARCH("Pesquisa de Preços",D1577)))</formula>
    </cfRule>
  </conditionalFormatting>
  <conditionalFormatting sqref="D1579:D1586 D1588">
    <cfRule type="containsText" dxfId="2043" priority="3912" operator="containsText" text="Pesquisa de Preços">
      <formula>NOT(ISERROR(SEARCH("Pesquisa de Preços",D1579)))</formula>
    </cfRule>
  </conditionalFormatting>
  <conditionalFormatting sqref="D1391:D1392 D1394:D1395">
    <cfRule type="containsText" dxfId="2042" priority="3911" operator="containsText" text="Pesquisa de Preços">
      <formula>NOT(ISERROR(SEARCH("Pesquisa de Preços",D1391)))</formula>
    </cfRule>
  </conditionalFormatting>
  <conditionalFormatting sqref="D1393">
    <cfRule type="containsText" dxfId="2041" priority="3910" operator="containsText" text="Pesquisa de Preços">
      <formula>NOT(ISERROR(SEARCH("Pesquisa de Preços",D1393)))</formula>
    </cfRule>
  </conditionalFormatting>
  <conditionalFormatting sqref="D1634 D1636:D1637">
    <cfRule type="containsText" dxfId="2040" priority="3900" operator="containsText" text="Pesquisa de Preços">
      <formula>NOT(ISERROR(SEARCH("Pesquisa de Preços",D1634)))</formula>
    </cfRule>
  </conditionalFormatting>
  <conditionalFormatting sqref="D1598 D1602">
    <cfRule type="containsText" dxfId="2039" priority="3908" operator="containsText" text="Pesquisa de Preços">
      <formula>NOT(ISERROR(SEARCH("Pesquisa de Preços",D1598)))</formula>
    </cfRule>
  </conditionalFormatting>
  <conditionalFormatting sqref="D1608">
    <cfRule type="containsText" dxfId="2038" priority="3907" operator="containsText" text="Pesquisa de Preços">
      <formula>NOT(ISERROR(SEARCH("Pesquisa de Preços",D1608)))</formula>
    </cfRule>
  </conditionalFormatting>
  <conditionalFormatting sqref="D1645:D1646">
    <cfRule type="containsText" dxfId="2037" priority="3906" operator="containsText" text="Pesquisa de Preços">
      <formula>NOT(ISERROR(SEARCH("Pesquisa de Preços",D1645)))</formula>
    </cfRule>
  </conditionalFormatting>
  <conditionalFormatting sqref="D1647:D1648">
    <cfRule type="containsText" dxfId="2036" priority="3905" operator="containsText" text="Pesquisa de Preços">
      <formula>NOT(ISERROR(SEARCH("Pesquisa de Preços",D1647)))</formula>
    </cfRule>
  </conditionalFormatting>
  <conditionalFormatting sqref="D1622 D1626">
    <cfRule type="containsText" dxfId="2035" priority="3902" operator="containsText" text="Pesquisa de Preços">
      <formula>NOT(ISERROR(SEARCH("Pesquisa de Preços",D1622)))</formula>
    </cfRule>
  </conditionalFormatting>
  <conditionalFormatting sqref="D1617 D1619:D1620">
    <cfRule type="containsText" dxfId="2034" priority="3901" operator="containsText" text="Pesquisa de Preços">
      <formula>NOT(ISERROR(SEARCH("Pesquisa de Preços",D1617)))</formula>
    </cfRule>
  </conditionalFormatting>
  <conditionalFormatting sqref="D1639 D1642:D1643">
    <cfRule type="containsText" dxfId="2033" priority="3899" operator="containsText" text="Pesquisa de Preços">
      <formula>NOT(ISERROR(SEARCH("Pesquisa de Preços",D1639)))</formula>
    </cfRule>
  </conditionalFormatting>
  <conditionalFormatting sqref="D1742:D1743 D1734:D1736">
    <cfRule type="containsText" dxfId="2032" priority="3891" operator="containsText" text="Pesquisa de Preços">
      <formula>NOT(ISERROR(SEARCH("Pesquisa de Preços",D1734)))</formula>
    </cfRule>
  </conditionalFormatting>
  <conditionalFormatting sqref="D1684 D1688:D1689">
    <cfRule type="containsText" dxfId="2031" priority="3898" operator="containsText" text="Pesquisa de Preços">
      <formula>NOT(ISERROR(SEARCH("Pesquisa de Preços",D1684)))</formula>
    </cfRule>
  </conditionalFormatting>
  <conditionalFormatting sqref="D1678 D1681:D1682">
    <cfRule type="containsText" dxfId="2030" priority="3896" operator="containsText" text="Pesquisa de Preços">
      <formula>NOT(ISERROR(SEARCH("Pesquisa de Preços",D1678)))</formula>
    </cfRule>
  </conditionalFormatting>
  <conditionalFormatting sqref="D1673 D1675:D1676">
    <cfRule type="containsText" dxfId="2029" priority="3895" operator="containsText" text="Pesquisa de Preços">
      <formula>NOT(ISERROR(SEARCH("Pesquisa de Preços",D1673)))</formula>
    </cfRule>
  </conditionalFormatting>
  <conditionalFormatting sqref="D1723:D1724 D1731:D1732">
    <cfRule type="containsText" dxfId="2028" priority="3888" operator="containsText" text="Pesquisa de Preços">
      <formula>NOT(ISERROR(SEARCH("Pesquisa de Preços",D1723)))</formula>
    </cfRule>
  </conditionalFormatting>
  <conditionalFormatting sqref="D1668">
    <cfRule type="containsText" dxfId="2027" priority="3893" operator="containsText" text="Pesquisa de Preços">
      <formula>NOT(ISERROR(SEARCH("Pesquisa de Preços",D1668)))</formula>
    </cfRule>
  </conditionalFormatting>
  <conditionalFormatting sqref="D1663">
    <cfRule type="containsText" dxfId="2026" priority="3894" operator="containsText" text="Pesquisa de Preços">
      <formula>NOT(ISERROR(SEARCH("Pesquisa de Preços",D1663)))</formula>
    </cfRule>
  </conditionalFormatting>
  <conditionalFormatting sqref="D1657 D1660:D1661">
    <cfRule type="containsText" dxfId="2025" priority="3892" operator="containsText" text="Pesquisa de Preços">
      <formula>NOT(ISERROR(SEARCH("Pesquisa de Preços",D1657)))</formula>
    </cfRule>
  </conditionalFormatting>
  <conditionalFormatting sqref="D1753:D1754 D1745:D1746">
    <cfRule type="containsText" dxfId="2024" priority="3890" operator="containsText" text="Pesquisa de Preços">
      <formula>NOT(ISERROR(SEARCH("Pesquisa de Preços",D1745)))</formula>
    </cfRule>
  </conditionalFormatting>
  <conditionalFormatting sqref="D1712:D1713 D1721">
    <cfRule type="containsText" dxfId="2023" priority="3889" operator="containsText" text="Pesquisa de Preços">
      <formula>NOT(ISERROR(SEARCH("Pesquisa de Preços",D1712)))</formula>
    </cfRule>
  </conditionalFormatting>
  <conditionalFormatting sqref="D1698:D1699 D1701:D1702">
    <cfRule type="containsText" dxfId="2022" priority="3887" operator="containsText" text="Pesquisa de Preços">
      <formula>NOT(ISERROR(SEARCH("Pesquisa de Preços",D1698)))</formula>
    </cfRule>
  </conditionalFormatting>
  <conditionalFormatting sqref="D1704">
    <cfRule type="containsText" dxfId="2021" priority="3886" operator="containsText" text="Pesquisa de Preços">
      <formula>NOT(ISERROR(SEARCH("Pesquisa de Preços",D1704)))</formula>
    </cfRule>
  </conditionalFormatting>
  <conditionalFormatting sqref="D1707:D1708">
    <cfRule type="containsText" dxfId="2020" priority="3885" operator="containsText" text="Pesquisa de Preços">
      <formula>NOT(ISERROR(SEARCH("Pesquisa de Preços",D1707)))</formula>
    </cfRule>
  </conditionalFormatting>
  <conditionalFormatting sqref="D1817">
    <cfRule type="containsText" dxfId="2019" priority="3884" operator="containsText" text="Pesquisa de Preços">
      <formula>NOT(ISERROR(SEARCH("Pesquisa de Preços",D1817)))</formula>
    </cfRule>
  </conditionalFormatting>
  <conditionalFormatting sqref="D1843">
    <cfRule type="containsText" dxfId="2018" priority="3878" operator="containsText" text="Pesquisa de Preços">
      <formula>NOT(ISERROR(SEARCH("Pesquisa de Preços",D1843)))</formula>
    </cfRule>
  </conditionalFormatting>
  <conditionalFormatting sqref="D1812">
    <cfRule type="containsText" dxfId="2017" priority="3883" operator="containsText" text="Pesquisa de Preços">
      <formula>NOT(ISERROR(SEARCH("Pesquisa de Preços",D1812)))</formula>
    </cfRule>
  </conditionalFormatting>
  <conditionalFormatting sqref="D1822 D1825:D1826">
    <cfRule type="containsText" dxfId="2016" priority="3882" operator="containsText" text="Pesquisa de Preços">
      <formula>NOT(ISERROR(SEARCH("Pesquisa de Preços",D1822)))</formula>
    </cfRule>
  </conditionalFormatting>
  <conditionalFormatting sqref="D1824">
    <cfRule type="containsText" dxfId="2015" priority="3881" operator="containsText" text="Pesquisa de Preços">
      <formula>NOT(ISERROR(SEARCH("Pesquisa de Preços",D1824)))</formula>
    </cfRule>
  </conditionalFormatting>
  <conditionalFormatting sqref="D1828 D1831:D1832">
    <cfRule type="containsText" dxfId="2014" priority="3880" operator="containsText" text="Pesquisa de Preços">
      <formula>NOT(ISERROR(SEARCH("Pesquisa de Preços",D1828)))</formula>
    </cfRule>
  </conditionalFormatting>
  <conditionalFormatting sqref="D1841:D1842 D1844:D1845">
    <cfRule type="containsText" dxfId="2013" priority="3879" operator="containsText" text="Pesquisa de Preços">
      <formula>NOT(ISERROR(SEARCH("Pesquisa de Preços",D1841)))</formula>
    </cfRule>
  </conditionalFormatting>
  <conditionalFormatting sqref="D1847:D1848 D1850:D1851">
    <cfRule type="containsText" dxfId="2012" priority="3877" operator="containsText" text="Pesquisa de Preços">
      <formula>NOT(ISERROR(SEARCH("Pesquisa de Preços",D1847)))</formula>
    </cfRule>
  </conditionalFormatting>
  <conditionalFormatting sqref="D1855">
    <cfRule type="containsText" dxfId="2011" priority="3873" operator="containsText" text="Pesquisa de Preços">
      <formula>NOT(ISERROR(SEARCH("Pesquisa de Preços",D1855)))</formula>
    </cfRule>
  </conditionalFormatting>
  <conditionalFormatting sqref="D1849">
    <cfRule type="containsText" dxfId="2010" priority="3876" operator="containsText" text="Pesquisa de Preços">
      <formula>NOT(ISERROR(SEARCH("Pesquisa de Preços",D1849)))</formula>
    </cfRule>
  </conditionalFormatting>
  <conditionalFormatting sqref="D1834:D1835 D1839">
    <cfRule type="containsText" dxfId="2009" priority="3875" operator="containsText" text="Pesquisa de Preços">
      <formula>NOT(ISERROR(SEARCH("Pesquisa de Preços",D1834)))</formula>
    </cfRule>
  </conditionalFormatting>
  <conditionalFormatting sqref="D1897">
    <cfRule type="containsText" dxfId="2008" priority="3870" operator="containsText" text="Pesquisa de Preços">
      <formula>NOT(ISERROR(SEARCH("Pesquisa de Preços",D1897)))</formula>
    </cfRule>
  </conditionalFormatting>
  <conditionalFormatting sqref="D1853:D1854 D1856:D1857">
    <cfRule type="containsText" dxfId="2007" priority="3874" operator="containsText" text="Pesquisa de Preços">
      <formula>NOT(ISERROR(SEARCH("Pesquisa de Preços",D1853)))</formula>
    </cfRule>
  </conditionalFormatting>
  <conditionalFormatting sqref="D1859 D1863">
    <cfRule type="containsText" dxfId="2006" priority="3872" operator="containsText" text="Pesquisa de Preços">
      <formula>NOT(ISERROR(SEARCH("Pesquisa de Preços",D1859)))</formula>
    </cfRule>
  </conditionalFormatting>
  <conditionalFormatting sqref="D1895:D1896 D1898:D1899">
    <cfRule type="containsText" dxfId="2005" priority="3871" operator="containsText" text="Pesquisa de Preços">
      <formula>NOT(ISERROR(SEARCH("Pesquisa de Preços",D1895)))</formula>
    </cfRule>
  </conditionalFormatting>
  <conditionalFormatting sqref="D1871:D1872 D1874:D1875">
    <cfRule type="containsText" dxfId="2004" priority="3869" operator="containsText" text="Pesquisa de Preços">
      <formula>NOT(ISERROR(SEARCH("Pesquisa de Preços",D1871)))</formula>
    </cfRule>
  </conditionalFormatting>
  <conditionalFormatting sqref="D1873">
    <cfRule type="containsText" dxfId="2003" priority="3868" operator="containsText" text="Pesquisa de Preços">
      <formula>NOT(ISERROR(SEARCH("Pesquisa de Preços",D1873)))</formula>
    </cfRule>
  </conditionalFormatting>
  <conditionalFormatting sqref="D1889 D1893">
    <cfRule type="containsText" dxfId="2002" priority="3867" operator="containsText" text="Pesquisa de Preços">
      <formula>NOT(ISERROR(SEARCH("Pesquisa de Preços",D1889)))</formula>
    </cfRule>
  </conditionalFormatting>
  <conditionalFormatting sqref="D1865:D1866 D1868:D1869">
    <cfRule type="containsText" dxfId="2001" priority="3866" operator="containsText" text="Pesquisa de Preços">
      <formula>NOT(ISERROR(SEARCH("Pesquisa de Preços",D1865)))</formula>
    </cfRule>
  </conditionalFormatting>
  <conditionalFormatting sqref="D1867">
    <cfRule type="containsText" dxfId="2000" priority="3865" operator="containsText" text="Pesquisa de Preços">
      <formula>NOT(ISERROR(SEARCH("Pesquisa de Preços",D1867)))</formula>
    </cfRule>
  </conditionalFormatting>
  <conditionalFormatting sqref="D1877:D1878 D1880:D1881">
    <cfRule type="containsText" dxfId="1999" priority="3864" operator="containsText" text="Pesquisa de Preços">
      <formula>NOT(ISERROR(SEARCH("Pesquisa de Preços",D1877)))</formula>
    </cfRule>
  </conditionalFormatting>
  <conditionalFormatting sqref="D1903">
    <cfRule type="containsText" dxfId="1998" priority="3860" operator="containsText" text="Pesquisa de Preços">
      <formula>NOT(ISERROR(SEARCH("Pesquisa de Preços",D1903)))</formula>
    </cfRule>
  </conditionalFormatting>
  <conditionalFormatting sqref="D1879">
    <cfRule type="containsText" dxfId="1997" priority="3863" operator="containsText" text="Pesquisa de Preços">
      <formula>NOT(ISERROR(SEARCH("Pesquisa de Preços",D1879)))</formula>
    </cfRule>
  </conditionalFormatting>
  <conditionalFormatting sqref="D1883 D1887">
    <cfRule type="containsText" dxfId="1996" priority="3862" operator="containsText" text="Pesquisa de Preços">
      <formula>NOT(ISERROR(SEARCH("Pesquisa de Preços",D1883)))</formula>
    </cfRule>
  </conditionalFormatting>
  <conditionalFormatting sqref="D1928 D1931:D1932">
    <cfRule type="containsText" dxfId="1995" priority="3854" operator="containsText" text="Pesquisa de Preços">
      <formula>NOT(ISERROR(SEARCH("Pesquisa de Preços",D1928)))</formula>
    </cfRule>
  </conditionalFormatting>
  <conditionalFormatting sqref="D1901:D1902 D1904:D1905">
    <cfRule type="containsText" dxfId="1994" priority="3861" operator="containsText" text="Pesquisa de Preços">
      <formula>NOT(ISERROR(SEARCH("Pesquisa de Preços",D1901)))</formula>
    </cfRule>
  </conditionalFormatting>
  <conditionalFormatting sqref="D1909">
    <cfRule type="containsText" dxfId="1993" priority="3858" operator="containsText" text="Pesquisa de Preços">
      <formula>NOT(ISERROR(SEARCH("Pesquisa de Preços",D1909)))</formula>
    </cfRule>
  </conditionalFormatting>
  <conditionalFormatting sqref="D1907:D1908 D1910:D1911">
    <cfRule type="containsText" dxfId="1992" priority="3859" operator="containsText" text="Pesquisa de Preços">
      <formula>NOT(ISERROR(SEARCH("Pesquisa de Preços",D1907)))</formula>
    </cfRule>
  </conditionalFormatting>
  <conditionalFormatting sqref="D1913">
    <cfRule type="containsText" dxfId="1991" priority="3857" operator="containsText" text="Pesquisa de Preços">
      <formula>NOT(ISERROR(SEARCH("Pesquisa de Preços",D1913)))</formula>
    </cfRule>
  </conditionalFormatting>
  <conditionalFormatting sqref="D1923:D1924 D1926">
    <cfRule type="containsText" dxfId="1990" priority="3856" operator="containsText" text="Pesquisa de Preços">
      <formula>NOT(ISERROR(SEARCH("Pesquisa de Preços",D1923)))</formula>
    </cfRule>
  </conditionalFormatting>
  <conditionalFormatting sqref="D1918">
    <cfRule type="containsText" dxfId="1989" priority="3855" operator="containsText" text="Pesquisa de Preços">
      <formula>NOT(ISERROR(SEARCH("Pesquisa de Preços",D1918)))</formula>
    </cfRule>
  </conditionalFormatting>
  <conditionalFormatting sqref="D1949:D1950 D1952:D1953">
    <cfRule type="containsText" dxfId="1988" priority="3853" operator="containsText" text="Pesquisa de Preços">
      <formula>NOT(ISERROR(SEARCH("Pesquisa de Preços",D1949)))</formula>
    </cfRule>
  </conditionalFormatting>
  <conditionalFormatting sqref="D1951">
    <cfRule type="containsText" dxfId="1987" priority="3852" operator="containsText" text="Pesquisa de Preços">
      <formula>NOT(ISERROR(SEARCH("Pesquisa de Preços",D1951)))</formula>
    </cfRule>
  </conditionalFormatting>
  <conditionalFormatting sqref="D1958:D1959">
    <cfRule type="containsText" dxfId="1986" priority="3851" operator="containsText" text="Pesquisa de Preços">
      <formula>NOT(ISERROR(SEARCH("Pesquisa de Preços",D1958)))</formula>
    </cfRule>
  </conditionalFormatting>
  <conditionalFormatting sqref="D1968:D1969 D1973">
    <cfRule type="containsText" dxfId="1985" priority="3848" operator="containsText" text="Pesquisa de Preços">
      <formula>NOT(ISERROR(SEARCH("Pesquisa de Preços",D1968)))</formula>
    </cfRule>
  </conditionalFormatting>
  <conditionalFormatting sqref="D1971">
    <cfRule type="containsText" dxfId="1984" priority="3847" operator="containsText" text="Pesquisa de Preços">
      <formula>NOT(ISERROR(SEARCH("Pesquisa de Preços",D1971)))</formula>
    </cfRule>
  </conditionalFormatting>
  <conditionalFormatting sqref="D1983:D1984 D1988:D1989">
    <cfRule type="containsText" dxfId="1983" priority="3850" operator="containsText" text="Pesquisa de Preços">
      <formula>NOT(ISERROR(SEARCH("Pesquisa de Preços",D1983)))</formula>
    </cfRule>
  </conditionalFormatting>
  <conditionalFormatting sqref="D1975 D1981">
    <cfRule type="containsText" dxfId="1982" priority="3849" operator="containsText" text="Pesquisa de Preços">
      <formula>NOT(ISERROR(SEARCH("Pesquisa de Preços",D1975)))</formula>
    </cfRule>
  </conditionalFormatting>
  <conditionalFormatting sqref="D1961:D1962 D1966">
    <cfRule type="containsText" dxfId="1981" priority="3846" operator="containsText" text="Pesquisa de Preços">
      <formula>NOT(ISERROR(SEARCH("Pesquisa de Preços",D1961)))</formula>
    </cfRule>
  </conditionalFormatting>
  <conditionalFormatting sqref="D1964">
    <cfRule type="containsText" dxfId="1980" priority="3845" operator="containsText" text="Pesquisa de Preços">
      <formula>NOT(ISERROR(SEARCH("Pesquisa de Preços",D1964)))</formula>
    </cfRule>
  </conditionalFormatting>
  <conditionalFormatting sqref="D2012 D2017">
    <cfRule type="containsText" dxfId="1979" priority="3844" operator="containsText" text="Pesquisa de Preços">
      <formula>NOT(ISERROR(SEARCH("Pesquisa de Preços",D2012)))</formula>
    </cfRule>
  </conditionalFormatting>
  <conditionalFormatting sqref="D2007:D2008">
    <cfRule type="containsText" dxfId="1978" priority="3842" operator="containsText" text="Pesquisa de Preços">
      <formula>NOT(ISERROR(SEARCH("Pesquisa de Preços",D2007)))</formula>
    </cfRule>
  </conditionalFormatting>
  <conditionalFormatting sqref="D2005 D2010">
    <cfRule type="containsText" dxfId="1977" priority="3843" operator="containsText" text="Pesquisa de Preços">
      <formula>NOT(ISERROR(SEARCH("Pesquisa de Preços",D2005)))</formula>
    </cfRule>
  </conditionalFormatting>
  <conditionalFormatting sqref="D2000:D2001">
    <cfRule type="containsText" dxfId="1976" priority="3840" operator="containsText" text="Pesquisa de Preços">
      <formula>NOT(ISERROR(SEARCH("Pesquisa de Preços",D2000)))</formula>
    </cfRule>
  </conditionalFormatting>
  <conditionalFormatting sqref="D1998 D2003">
    <cfRule type="containsText" dxfId="1975" priority="3841" operator="containsText" text="Pesquisa de Preços">
      <formula>NOT(ISERROR(SEARCH("Pesquisa de Preços",D1998)))</formula>
    </cfRule>
  </conditionalFormatting>
  <conditionalFormatting sqref="D1991 D1996">
    <cfRule type="containsText" dxfId="1974" priority="3839" operator="containsText" text="Pesquisa de Preços">
      <formula>NOT(ISERROR(SEARCH("Pesquisa de Preços",D1991)))</formula>
    </cfRule>
  </conditionalFormatting>
  <conditionalFormatting sqref="D2137">
    <cfRule type="containsText" dxfId="1973" priority="3838" operator="containsText" text="Pesquisa de Preços">
      <formula>NOT(ISERROR(SEARCH("Pesquisa de Preços",D2137)))</formula>
    </cfRule>
  </conditionalFormatting>
  <conditionalFormatting sqref="D2139:D2140">
    <cfRule type="containsText" dxfId="1972" priority="3837" operator="containsText" text="Pesquisa de Preços">
      <formula>NOT(ISERROR(SEARCH("Pesquisa de Preços",D2139)))</formula>
    </cfRule>
  </conditionalFormatting>
  <conditionalFormatting sqref="D2131">
    <cfRule type="containsText" dxfId="1971" priority="3836" operator="containsText" text="Pesquisa de Preços">
      <formula>NOT(ISERROR(SEARCH("Pesquisa de Preços",D2131)))</formula>
    </cfRule>
  </conditionalFormatting>
  <conditionalFormatting sqref="D2133">
    <cfRule type="containsText" dxfId="1970" priority="3835" operator="containsText" text="Pesquisa de Preços">
      <formula>NOT(ISERROR(SEARCH("Pesquisa de Preços",D2133)))</formula>
    </cfRule>
  </conditionalFormatting>
  <conditionalFormatting sqref="D2125">
    <cfRule type="containsText" dxfId="1969" priority="3834" operator="containsText" text="Pesquisa de Preços">
      <formula>NOT(ISERROR(SEARCH("Pesquisa de Preços",D2125)))</formula>
    </cfRule>
  </conditionalFormatting>
  <conditionalFormatting sqref="D2127">
    <cfRule type="containsText" dxfId="1968" priority="3833" operator="containsText" text="Pesquisa de Preços">
      <formula>NOT(ISERROR(SEARCH("Pesquisa de Preços",D2127)))</formula>
    </cfRule>
  </conditionalFormatting>
  <conditionalFormatting sqref="D2119">
    <cfRule type="containsText" dxfId="1967" priority="3832" operator="containsText" text="Pesquisa de Preços">
      <formula>NOT(ISERROR(SEARCH("Pesquisa de Preços",D2119)))</formula>
    </cfRule>
  </conditionalFormatting>
  <conditionalFormatting sqref="D2121:D2122">
    <cfRule type="containsText" dxfId="1966" priority="3831" operator="containsText" text="Pesquisa de Preços">
      <formula>NOT(ISERROR(SEARCH("Pesquisa de Preços",D2121)))</formula>
    </cfRule>
  </conditionalFormatting>
  <conditionalFormatting sqref="D2151 D2155:D2157">
    <cfRule type="containsText" dxfId="1965" priority="3830" operator="containsText" text="Pesquisa de Preços">
      <formula>NOT(ISERROR(SEARCH("Pesquisa de Preços",D2151)))</formula>
    </cfRule>
  </conditionalFormatting>
  <conditionalFormatting sqref="D2167 D2171:D2173">
    <cfRule type="containsText" dxfId="1964" priority="3829" operator="containsText" text="Pesquisa de Preços">
      <formula>NOT(ISERROR(SEARCH("Pesquisa de Preços",D2167)))</formula>
    </cfRule>
  </conditionalFormatting>
  <conditionalFormatting sqref="D2147:D2149">
    <cfRule type="containsText" dxfId="1963" priority="3828" operator="containsText" text="Pesquisa de Preços">
      <formula>NOT(ISERROR(SEARCH("Pesquisa de Preços",D2147)))</formula>
    </cfRule>
  </conditionalFormatting>
  <conditionalFormatting sqref="D2179:D2181">
    <cfRule type="containsText" dxfId="1962" priority="3827" operator="containsText" text="Pesquisa de Preços">
      <formula>NOT(ISERROR(SEARCH("Pesquisa de Preços",D2179)))</formula>
    </cfRule>
  </conditionalFormatting>
  <conditionalFormatting sqref="D2057 D2061:D2063">
    <cfRule type="containsText" dxfId="1961" priority="3823" operator="containsText" text="Pesquisa de Preços">
      <formula>NOT(ISERROR(SEARCH("Pesquisa de Preços",D2057)))</formula>
    </cfRule>
  </conditionalFormatting>
  <conditionalFormatting sqref="D2163:D2165">
    <cfRule type="containsText" dxfId="1960" priority="3826" operator="containsText" text="Pesquisa de Preços">
      <formula>NOT(ISERROR(SEARCH("Pesquisa de Preços",D2163)))</formula>
    </cfRule>
  </conditionalFormatting>
  <conditionalFormatting sqref="D2187:D2189">
    <cfRule type="containsText" dxfId="1959" priority="3825" operator="containsText" text="Pesquisa de Preços">
      <formula>NOT(ISERROR(SEARCH("Pesquisa de Preços",D2187)))</formula>
    </cfRule>
  </conditionalFormatting>
  <conditionalFormatting sqref="D2240:D2242 D2244">
    <cfRule type="containsText" dxfId="1958" priority="3800" operator="containsText" text="Pesquisa de Preços">
      <formula>NOT(ISERROR(SEARCH("Pesquisa de Preços",D2240)))</formula>
    </cfRule>
  </conditionalFormatting>
  <conditionalFormatting sqref="D2041 D2045:D2047">
    <cfRule type="containsText" dxfId="1957" priority="3824" operator="containsText" text="Pesquisa de Preços">
      <formula>NOT(ISERROR(SEARCH("Pesquisa de Preços",D2041)))</formula>
    </cfRule>
  </conditionalFormatting>
  <conditionalFormatting sqref="D2049 D2053:D2055">
    <cfRule type="containsText" dxfId="1956" priority="3820" operator="containsText" text="Pesquisa de Preços">
      <formula>NOT(ISERROR(SEARCH("Pesquisa de Preços",D2049)))</formula>
    </cfRule>
  </conditionalFormatting>
  <conditionalFormatting sqref="D2333:D2334 D2336:D2337">
    <cfRule type="containsText" dxfId="1955" priority="3795" operator="containsText" text="Pesquisa de Preços">
      <formula>NOT(ISERROR(SEARCH("Pesquisa de Preços",D2333)))</formula>
    </cfRule>
  </conditionalFormatting>
  <conditionalFormatting sqref="D2033 D2037:D2039">
    <cfRule type="containsText" dxfId="1954" priority="3822" operator="containsText" text="Pesquisa de Preços">
      <formula>NOT(ISERROR(SEARCH("Pesquisa de Preços",D2033)))</formula>
    </cfRule>
  </conditionalFormatting>
  <conditionalFormatting sqref="D2065 D2069:D2071">
    <cfRule type="containsText" dxfId="1953" priority="3821" operator="containsText" text="Pesquisa de Preços">
      <formula>NOT(ISERROR(SEARCH("Pesquisa de Preços",D2065)))</formula>
    </cfRule>
  </conditionalFormatting>
  <conditionalFormatting sqref="D2312">
    <cfRule type="containsText" dxfId="1952" priority="3797" operator="containsText" text="Pesquisa de Preços">
      <formula>NOT(ISERROR(SEARCH("Pesquisa de Preços",D2312)))</formula>
    </cfRule>
  </conditionalFormatting>
  <conditionalFormatting sqref="D2329">
    <cfRule type="containsText" dxfId="1951" priority="3792" operator="containsText" text="Pesquisa de Preços">
      <formula>NOT(ISERROR(SEARCH("Pesquisa de Preços",D2329)))</formula>
    </cfRule>
  </conditionalFormatting>
  <conditionalFormatting sqref="D2073 D2077:D2079">
    <cfRule type="containsText" dxfId="1950" priority="3819" operator="containsText" text="Pesquisa de Preços">
      <formula>NOT(ISERROR(SEARCH("Pesquisa de Preços",D2073)))</formula>
    </cfRule>
  </conditionalFormatting>
  <conditionalFormatting sqref="D2251">
    <cfRule type="containsText" dxfId="1949" priority="3807" operator="containsText" text="Pesquisa de Preços">
      <formula>NOT(ISERROR(SEARCH("Pesquisa de Preços",D2251)))</formula>
    </cfRule>
  </conditionalFormatting>
  <conditionalFormatting sqref="D2031">
    <cfRule type="containsText" dxfId="1948" priority="3818" operator="containsText" text="Pesquisa de Preços">
      <formula>NOT(ISERROR(SEARCH("Pesquisa de Preços",D2031)))</formula>
    </cfRule>
  </conditionalFormatting>
  <conditionalFormatting sqref="D2109:D2111">
    <cfRule type="containsText" dxfId="1947" priority="3817" operator="containsText" text="Pesquisa de Preços">
      <formula>NOT(ISERROR(SEARCH("Pesquisa de Preços",D2109)))</formula>
    </cfRule>
  </conditionalFormatting>
  <conditionalFormatting sqref="D2101:D2103">
    <cfRule type="containsText" dxfId="1946" priority="3816" operator="containsText" text="Pesquisa de Preços">
      <formula>NOT(ISERROR(SEARCH("Pesquisa de Preços",D2101)))</formula>
    </cfRule>
  </conditionalFormatting>
  <conditionalFormatting sqref="D2216">
    <cfRule type="containsText" dxfId="1945" priority="3810" operator="containsText" text="Pesquisa de Preços">
      <formula>NOT(ISERROR(SEARCH("Pesquisa de Preços",D2216)))</formula>
    </cfRule>
  </conditionalFormatting>
  <conditionalFormatting sqref="D2095">
    <cfRule type="containsText" dxfId="1944" priority="3815" operator="containsText" text="Pesquisa de Preços">
      <formula>NOT(ISERROR(SEARCH("Pesquisa de Preços",D2095)))</formula>
    </cfRule>
  </conditionalFormatting>
  <conditionalFormatting sqref="D2019:D2020 D2022:D2023">
    <cfRule type="containsText" dxfId="1943" priority="3814" operator="containsText" text="Pesquisa de Preços">
      <formula>NOT(ISERROR(SEARCH("Pesquisa de Preços",D2019)))</formula>
    </cfRule>
  </conditionalFormatting>
  <conditionalFormatting sqref="D2113">
    <cfRule type="containsText" dxfId="1942" priority="3813" operator="containsText" text="Pesquisa de Preços">
      <formula>NOT(ISERROR(SEARCH("Pesquisa de Preços",D2113)))</formula>
    </cfRule>
  </conditionalFormatting>
  <conditionalFormatting sqref="D2207:D2208">
    <cfRule type="containsText" dxfId="1941" priority="3812" operator="containsText" text="Pesquisa de Preços">
      <formula>NOT(ISERROR(SEARCH("Pesquisa de Preços",D2207)))</formula>
    </cfRule>
  </conditionalFormatting>
  <conditionalFormatting sqref="D2212:D2213">
    <cfRule type="containsText" dxfId="1940" priority="3811" operator="containsText" text="Pesquisa de Preços">
      <formula>NOT(ISERROR(SEARCH("Pesquisa de Preços",D2212)))</formula>
    </cfRule>
  </conditionalFormatting>
  <conditionalFormatting sqref="D2231 D2234:D2235">
    <cfRule type="containsText" dxfId="1939" priority="3809" operator="containsText" text="Pesquisa de Preços">
      <formula>NOT(ISERROR(SEARCH("Pesquisa de Preços",D2231)))</formula>
    </cfRule>
  </conditionalFormatting>
  <conditionalFormatting sqref="D2225 D2228:D2229">
    <cfRule type="containsText" dxfId="1938" priority="3808" operator="containsText" text="Pesquisa de Preços">
      <formula>NOT(ISERROR(SEARCH("Pesquisa de Preços",D2225)))</formula>
    </cfRule>
  </conditionalFormatting>
  <conditionalFormatting sqref="D2297">
    <cfRule type="containsText" dxfId="1937" priority="3805" operator="containsText" text="Pesquisa de Preços">
      <formula>NOT(ISERROR(SEARCH("Pesquisa de Preços",D2297)))</formula>
    </cfRule>
  </conditionalFormatting>
  <conditionalFormatting sqref="D2254">
    <cfRule type="containsText" dxfId="1936" priority="3806" operator="containsText" text="Pesquisa de Preços">
      <formula>NOT(ISERROR(SEARCH("Pesquisa de Preços",D2254)))</formula>
    </cfRule>
  </conditionalFormatting>
  <conditionalFormatting sqref="D2287">
    <cfRule type="containsText" dxfId="1935" priority="3804" operator="containsText" text="Pesquisa de Preços">
      <formula>NOT(ISERROR(SEARCH("Pesquisa de Preços",D2287)))</formula>
    </cfRule>
  </conditionalFormatting>
  <conditionalFormatting sqref="D2277 D2285">
    <cfRule type="containsText" dxfId="1934" priority="3802" operator="containsText" text="Pesquisa de Preços">
      <formula>NOT(ISERROR(SEARCH("Pesquisa de Preços",D2277)))</formula>
    </cfRule>
  </conditionalFormatting>
  <conditionalFormatting sqref="D2237:D2238">
    <cfRule type="containsText" dxfId="1933" priority="3801" operator="containsText" text="Pesquisa de Preços">
      <formula>NOT(ISERROR(SEARCH("Pesquisa de Preços",D2237)))</formula>
    </cfRule>
  </conditionalFormatting>
  <conditionalFormatting sqref="D2314:D2315">
    <cfRule type="containsText" dxfId="1932" priority="3799" operator="containsText" text="Pesquisa de Preços">
      <formula>NOT(ISERROR(SEARCH("Pesquisa de Preços",D2314)))</formula>
    </cfRule>
  </conditionalFormatting>
  <conditionalFormatting sqref="D2318">
    <cfRule type="containsText" dxfId="1931" priority="3798" operator="containsText" text="Pesquisa de Preços">
      <formula>NOT(ISERROR(SEARCH("Pesquisa de Preços",D2318)))</formula>
    </cfRule>
  </conditionalFormatting>
  <conditionalFormatting sqref="D2345">
    <cfRule type="containsText" dxfId="1930" priority="3796" operator="containsText" text="Pesquisa de Preços">
      <formula>NOT(ISERROR(SEARCH("Pesquisa de Preços",D2345)))</formula>
    </cfRule>
  </conditionalFormatting>
  <conditionalFormatting sqref="D2335">
    <cfRule type="containsText" dxfId="1929" priority="3794" operator="containsText" text="Pesquisa de Preços">
      <formula>NOT(ISERROR(SEARCH("Pesquisa de Preços",D2335)))</formula>
    </cfRule>
  </conditionalFormatting>
  <conditionalFormatting sqref="D2327:D2328 D2330:D2331">
    <cfRule type="containsText" dxfId="1928" priority="3793" operator="containsText" text="Pesquisa de Preços">
      <formula>NOT(ISERROR(SEARCH("Pesquisa de Preços",D2327)))</formula>
    </cfRule>
  </conditionalFormatting>
  <conditionalFormatting sqref="D2339:D2340 D2342:D2343">
    <cfRule type="containsText" dxfId="1927" priority="3791" operator="containsText" text="Pesquisa de Preços">
      <formula>NOT(ISERROR(SEARCH("Pesquisa de Preços",D2339)))</formula>
    </cfRule>
  </conditionalFormatting>
  <conditionalFormatting sqref="D2341">
    <cfRule type="containsText" dxfId="1926" priority="3790" operator="containsText" text="Pesquisa de Preços">
      <formula>NOT(ISERROR(SEARCH("Pesquisa de Preços",D2341)))</formula>
    </cfRule>
  </conditionalFormatting>
  <conditionalFormatting sqref="D2321 D2324:D2325">
    <cfRule type="containsText" dxfId="1925" priority="3789" operator="containsText" text="Pesquisa de Preços">
      <formula>NOT(ISERROR(SEARCH("Pesquisa de Preços",D2321)))</formula>
    </cfRule>
  </conditionalFormatting>
  <conditionalFormatting sqref="D2323">
    <cfRule type="containsText" dxfId="1924" priority="3788" operator="containsText" text="Pesquisa de Preços">
      <formula>NOT(ISERROR(SEARCH("Pesquisa de Preços",D2323)))</formula>
    </cfRule>
  </conditionalFormatting>
  <conditionalFormatting sqref="D2350:D2353">
    <cfRule type="containsText" dxfId="1923" priority="3787" operator="containsText" text="Pesquisa de Preços">
      <formula>NOT(ISERROR(SEARCH("Pesquisa de Preços",D2350)))</formula>
    </cfRule>
  </conditionalFormatting>
  <conditionalFormatting sqref="D2355 D2357:D2358">
    <cfRule type="containsText" dxfId="1922" priority="3786" operator="containsText" text="Pesquisa de Preços">
      <formula>NOT(ISERROR(SEARCH("Pesquisa de Preços",D2355)))</formula>
    </cfRule>
  </conditionalFormatting>
  <conditionalFormatting sqref="D893:D894 D896:D898">
    <cfRule type="containsText" dxfId="1921" priority="3785" operator="containsText" text="Pesquisa de Preços">
      <formula>NOT(ISERROR(SEARCH("Pesquisa de Preços",D893)))</formula>
    </cfRule>
  </conditionalFormatting>
  <conditionalFormatting sqref="D857:D858">
    <cfRule type="containsText" dxfId="1920" priority="3780" operator="containsText" text="Pesquisa de Preços">
      <formula>NOT(ISERROR(SEARCH("Pesquisa de Preços",D857)))</formula>
    </cfRule>
  </conditionalFormatting>
  <conditionalFormatting sqref="D876 D879:D880">
    <cfRule type="containsText" dxfId="1919" priority="3784" operator="containsText" text="Pesquisa de Preços">
      <formula>NOT(ISERROR(SEARCH("Pesquisa de Preços",D876)))</formula>
    </cfRule>
  </conditionalFormatting>
  <conditionalFormatting sqref="D882 D885:D886">
    <cfRule type="containsText" dxfId="1918" priority="3782" operator="containsText" text="Pesquisa de Preços">
      <formula>NOT(ISERROR(SEARCH("Pesquisa de Preços",D882)))</formula>
    </cfRule>
  </conditionalFormatting>
  <conditionalFormatting sqref="D858:D860">
    <cfRule type="containsText" dxfId="1917" priority="3779" operator="containsText" text="Pesquisa de Preços">
      <formula>NOT(ISERROR(SEARCH("Pesquisa de Preços",D858)))</formula>
    </cfRule>
  </conditionalFormatting>
  <conditionalFormatting sqref="D846 D848:D849">
    <cfRule type="containsText" dxfId="1916" priority="3778" operator="containsText" text="Pesquisa de Preços">
      <formula>NOT(ISERROR(SEARCH("Pesquisa de Preços",D846)))</formula>
    </cfRule>
  </conditionalFormatting>
  <conditionalFormatting sqref="D851 D854:D855">
    <cfRule type="containsText" dxfId="1915" priority="3777" operator="containsText" text="Pesquisa de Preços">
      <formula>NOT(ISERROR(SEARCH("Pesquisa de Preços",D851)))</formula>
    </cfRule>
  </conditionalFormatting>
  <conditionalFormatting sqref="D868">
    <cfRule type="containsText" dxfId="1914" priority="3776" operator="containsText" text="Pesquisa de Preços">
      <formula>NOT(ISERROR(SEARCH("Pesquisa de Preços",D868)))</formula>
    </cfRule>
  </conditionalFormatting>
  <conditionalFormatting sqref="D863">
    <cfRule type="containsText" dxfId="1913" priority="3775" operator="containsText" text="Pesquisa de Preços">
      <formula>NOT(ISERROR(SEARCH("Pesquisa de Preços",D863)))</formula>
    </cfRule>
  </conditionalFormatting>
  <conditionalFormatting sqref="D890">
    <cfRule type="containsText" dxfId="1912" priority="3773" operator="containsText" text="Pesquisa de Preços">
      <formula>NOT(ISERROR(SEARCH("Pesquisa de Preços",D890)))</formula>
    </cfRule>
  </conditionalFormatting>
  <conditionalFormatting sqref="D888:D889">
    <cfRule type="containsText" dxfId="1911" priority="3774" operator="containsText" text="Pesquisa de Preços">
      <formula>NOT(ISERROR(SEARCH("Pesquisa de Preços",D888)))</formula>
    </cfRule>
  </conditionalFormatting>
  <conditionalFormatting sqref="D900:D901">
    <cfRule type="containsText" dxfId="1910" priority="3772" operator="containsText" text="Pesquisa de Preços">
      <formula>NOT(ISERROR(SEARCH("Pesquisa de Preços",D900)))</formula>
    </cfRule>
  </conditionalFormatting>
  <conditionalFormatting sqref="D2366:D2367">
    <cfRule type="containsText" dxfId="1909" priority="3771" operator="containsText" text="Pesquisa de Preços">
      <formula>NOT(ISERROR(SEARCH("Pesquisa de Preços",D2366)))</formula>
    </cfRule>
  </conditionalFormatting>
  <conditionalFormatting sqref="D2374 D2377 D2379">
    <cfRule type="containsText" dxfId="1908" priority="3770" operator="containsText" text="Pesquisa de Preços">
      <formula>NOT(ISERROR(SEARCH("Pesquisa de Preços",D2374)))</formula>
    </cfRule>
  </conditionalFormatting>
  <conditionalFormatting sqref="D2360:D2361 D2363:D2364">
    <cfRule type="containsText" dxfId="1907" priority="3769" operator="containsText" text="Pesquisa de Preços">
      <formula>NOT(ISERROR(SEARCH("Pesquisa de Preços",D2360)))</formula>
    </cfRule>
  </conditionalFormatting>
  <conditionalFormatting sqref="D2387 D2391:D2392">
    <cfRule type="containsText" dxfId="1906" priority="3767" operator="containsText" text="Pesquisa de Preços">
      <formula>NOT(ISERROR(SEARCH("Pesquisa de Preços",D2387)))</formula>
    </cfRule>
  </conditionalFormatting>
  <conditionalFormatting sqref="D2362">
    <cfRule type="containsText" dxfId="1905" priority="3768" operator="containsText" text="Pesquisa de Preços">
      <formula>NOT(ISERROR(SEARCH("Pesquisa de Preços",D2362)))</formula>
    </cfRule>
  </conditionalFormatting>
  <conditionalFormatting sqref="D2381">
    <cfRule type="containsText" dxfId="1904" priority="3766" operator="containsText" text="Pesquisa de Preços">
      <formula>NOT(ISERROR(SEARCH("Pesquisa de Preços",D2381)))</formula>
    </cfRule>
  </conditionalFormatting>
  <conditionalFormatting sqref="D1770:D1771 D1774:D1775">
    <cfRule type="containsText" dxfId="1903" priority="3764" operator="containsText" text="Pesquisa de Preços">
      <formula>NOT(ISERROR(SEARCH("Pesquisa de Preços",D1770)))</formula>
    </cfRule>
  </conditionalFormatting>
  <conditionalFormatting sqref="D1772:D1773">
    <cfRule type="containsText" dxfId="1902" priority="3763" operator="containsText" text="Pesquisa de Preços">
      <formula>NOT(ISERROR(SEARCH("Pesquisa de Preços",D1772)))</formula>
    </cfRule>
  </conditionalFormatting>
  <conditionalFormatting sqref="D1784:D1785 D1788:D1789">
    <cfRule type="containsText" dxfId="1901" priority="3761" operator="containsText" text="Pesquisa de Preços">
      <formula>NOT(ISERROR(SEARCH("Pesquisa de Preços",D1784)))</formula>
    </cfRule>
  </conditionalFormatting>
  <conditionalFormatting sqref="D1786:D1787">
    <cfRule type="containsText" dxfId="1900" priority="3760" operator="containsText" text="Pesquisa de Preços">
      <formula>NOT(ISERROR(SEARCH("Pesquisa de Preços",D1786)))</formula>
    </cfRule>
  </conditionalFormatting>
  <conditionalFormatting sqref="D1798:D1799 D1802:D1803">
    <cfRule type="containsText" dxfId="1899" priority="3758" operator="containsText" text="Pesquisa de Preços">
      <formula>NOT(ISERROR(SEARCH("Pesquisa de Preços",D1798)))</formula>
    </cfRule>
  </conditionalFormatting>
  <conditionalFormatting sqref="D1800:D1801">
    <cfRule type="containsText" dxfId="1898" priority="3757" operator="containsText" text="Pesquisa de Preços">
      <formula>NOT(ISERROR(SEARCH("Pesquisa de Preços",D1800)))</formula>
    </cfRule>
  </conditionalFormatting>
  <conditionalFormatting sqref="D1756:D1757 D1760:D1761">
    <cfRule type="containsText" dxfId="1897" priority="3755" operator="containsText" text="Pesquisa de Preços">
      <formula>NOT(ISERROR(SEARCH("Pesquisa de Preços",D1756)))</formula>
    </cfRule>
  </conditionalFormatting>
  <conditionalFormatting sqref="D1758:D1759">
    <cfRule type="containsText" dxfId="1896" priority="3754" operator="containsText" text="Pesquisa de Preços">
      <formula>NOT(ISERROR(SEARCH("Pesquisa de Preços",D1758)))</formula>
    </cfRule>
  </conditionalFormatting>
  <conditionalFormatting sqref="D1763:D1764 D1767:D1768">
    <cfRule type="containsText" dxfId="1895" priority="3752" operator="containsText" text="Pesquisa de Preços">
      <formula>NOT(ISERROR(SEARCH("Pesquisa de Preços",D1763)))</formula>
    </cfRule>
  </conditionalFormatting>
  <conditionalFormatting sqref="D590 D594">
    <cfRule type="containsText" dxfId="1894" priority="3690" operator="containsText" text="Pesquisa de Preços">
      <formula>NOT(ISERROR(SEARCH("Pesquisa de Preços",D590)))</formula>
    </cfRule>
  </conditionalFormatting>
  <conditionalFormatting sqref="D1765:D1766">
    <cfRule type="containsText" dxfId="1893" priority="3751" operator="containsText" text="Pesquisa de Preços">
      <formula>NOT(ISERROR(SEARCH("Pesquisa de Preços",D1765)))</formula>
    </cfRule>
  </conditionalFormatting>
  <conditionalFormatting sqref="D1781:D1782 D1777:D1778">
    <cfRule type="containsText" dxfId="1892" priority="3749" operator="containsText" text="Pesquisa de Preços">
      <formula>NOT(ISERROR(SEARCH("Pesquisa de Preços",D1777)))</formula>
    </cfRule>
  </conditionalFormatting>
  <conditionalFormatting sqref="D1779:D1780">
    <cfRule type="containsText" dxfId="1891" priority="3748" operator="containsText" text="Pesquisa de Preços">
      <formula>NOT(ISERROR(SEARCH("Pesquisa de Preços",D1779)))</formula>
    </cfRule>
  </conditionalFormatting>
  <conditionalFormatting sqref="D1791:D1792 D1795:D1796">
    <cfRule type="containsText" dxfId="1890" priority="3747" operator="containsText" text="Pesquisa de Preços">
      <formula>NOT(ISERROR(SEARCH("Pesquisa de Preços",D1791)))</formula>
    </cfRule>
  </conditionalFormatting>
  <conditionalFormatting sqref="D1793:D1794">
    <cfRule type="containsText" dxfId="1889" priority="3746" operator="containsText" text="Pesquisa de Preços">
      <formula>NOT(ISERROR(SEARCH("Pesquisa de Preços",D1793)))</formula>
    </cfRule>
  </conditionalFormatting>
  <conditionalFormatting sqref="D1170">
    <cfRule type="containsText" dxfId="1888" priority="3745" operator="containsText" text="Pesquisa de Preços">
      <formula>NOT(ISERROR(SEARCH("Pesquisa de Preços",D1170)))</formula>
    </cfRule>
  </conditionalFormatting>
  <conditionalFormatting sqref="D1860 D1862">
    <cfRule type="containsText" dxfId="1887" priority="3744" operator="containsText" text="Pesquisa de Preços">
      <formula>NOT(ISERROR(SEARCH("Pesquisa de Preços",D1860)))</formula>
    </cfRule>
  </conditionalFormatting>
  <conditionalFormatting sqref="D1861">
    <cfRule type="containsText" dxfId="1886" priority="3743" operator="containsText" text="Pesquisa de Preços">
      <formula>NOT(ISERROR(SEARCH("Pesquisa de Preços",D1861)))</formula>
    </cfRule>
  </conditionalFormatting>
  <conditionalFormatting sqref="D1980">
    <cfRule type="containsText" dxfId="1885" priority="3742" operator="containsText" text="Pesquisa de Preços">
      <formula>NOT(ISERROR(SEARCH("Pesquisa de Preços",D1980)))</formula>
    </cfRule>
  </conditionalFormatting>
  <conditionalFormatting sqref="D2014:D2015">
    <cfRule type="containsText" dxfId="1884" priority="3741" operator="containsText" text="Pesquisa de Preços">
      <formula>NOT(ISERROR(SEARCH("Pesquisa de Preços",D2014)))</formula>
    </cfRule>
  </conditionalFormatting>
  <conditionalFormatting sqref="D1993:D1994">
    <cfRule type="containsText" dxfId="1883" priority="3740" operator="containsText" text="Pesquisa de Preços">
      <formula>NOT(ISERROR(SEARCH("Pesquisa de Preços",D1993)))</formula>
    </cfRule>
  </conditionalFormatting>
  <conditionalFormatting sqref="D2093:D2094">
    <cfRule type="containsText" dxfId="1882" priority="3739" operator="containsText" text="Pesquisa de Preços">
      <formula>NOT(ISERROR(SEARCH("Pesquisa de Preços",D2093)))</formula>
    </cfRule>
  </conditionalFormatting>
  <conditionalFormatting sqref="D2029:D2030">
    <cfRule type="containsText" dxfId="1881" priority="3738" operator="containsText" text="Pesquisa de Preços">
      <formula>NOT(ISERROR(SEARCH("Pesquisa de Preços",D2029)))</formula>
    </cfRule>
  </conditionalFormatting>
  <conditionalFormatting sqref="D829">
    <cfRule type="containsText" dxfId="1880" priority="3665" operator="containsText" text="Pesquisa de Preços">
      <formula>NOT(ISERROR(SEARCH("Pesquisa de Preços",D829)))</formula>
    </cfRule>
  </conditionalFormatting>
  <conditionalFormatting sqref="D830">
    <cfRule type="containsText" dxfId="1879" priority="3664" operator="containsText" text="Pesquisa de Preços">
      <formula>NOT(ISERROR(SEARCH("Pesquisa de Preços",D830)))</formula>
    </cfRule>
  </conditionalFormatting>
  <conditionalFormatting sqref="D1295">
    <cfRule type="containsText" dxfId="1878" priority="3660" operator="containsText" text="Pesquisa de Preços">
      <formula>NOT(ISERROR(SEARCH("Pesquisa de Preços",D1295)))</formula>
    </cfRule>
  </conditionalFormatting>
  <conditionalFormatting sqref="D1157">
    <cfRule type="containsText" dxfId="1877" priority="3657" operator="containsText" text="Pesquisa de Preços">
      <formula>NOT(ISERROR(SEARCH("Pesquisa de Preços",D1157)))</formula>
    </cfRule>
  </conditionalFormatting>
  <conditionalFormatting sqref="D1349">
    <cfRule type="containsText" dxfId="1876" priority="3659" operator="containsText" text="Pesquisa de Preços">
      <formula>NOT(ISERROR(SEARCH("Pesquisa de Preços",D1349)))</formula>
    </cfRule>
  </conditionalFormatting>
  <conditionalFormatting sqref="D1380">
    <cfRule type="containsText" dxfId="1875" priority="3653" operator="containsText" text="Pesquisa de Preços">
      <formula>NOT(ISERROR(SEARCH("Pesquisa de Preços",D1380)))</formula>
    </cfRule>
  </conditionalFormatting>
  <conditionalFormatting sqref="D207">
    <cfRule type="containsText" dxfId="1874" priority="3654" operator="containsText" text="Pesquisa de Preços">
      <formula>NOT(ISERROR(SEARCH("Pesquisa de Preços",D207)))</formula>
    </cfRule>
  </conditionalFormatting>
  <conditionalFormatting sqref="D1635">
    <cfRule type="containsText" dxfId="1873" priority="3650" operator="containsText" text="Pesquisa de Preços">
      <formula>NOT(ISERROR(SEARCH("Pesquisa de Preços",D1635)))</formula>
    </cfRule>
  </conditionalFormatting>
  <conditionalFormatting sqref="D1685">
    <cfRule type="containsText" dxfId="1872" priority="3649" operator="containsText" text="Pesquisa de Preços">
      <formula>NOT(ISERROR(SEARCH("Pesquisa de Preços",D1685)))</formula>
    </cfRule>
  </conditionalFormatting>
  <conditionalFormatting sqref="D1686">
    <cfRule type="containsText" dxfId="1871" priority="3648" operator="containsText" text="Pesquisa de Preços">
      <formula>NOT(ISERROR(SEARCH("Pesquisa de Preços",D1686)))</formula>
    </cfRule>
  </conditionalFormatting>
  <conditionalFormatting sqref="D1612">
    <cfRule type="containsText" dxfId="1870" priority="3646" operator="containsText" text="Pesquisa de Preços">
      <formula>NOT(ISERROR(SEARCH("Pesquisa de Preços",D1612)))</formula>
    </cfRule>
  </conditionalFormatting>
  <conditionalFormatting sqref="D1687">
    <cfRule type="containsText" dxfId="1869" priority="3644" operator="containsText" text="Pesquisa de Preços">
      <formula>NOT(ISERROR(SEARCH("Pesquisa de Preços",D1687)))</formula>
    </cfRule>
  </conditionalFormatting>
  <conditionalFormatting sqref="D820">
    <cfRule type="containsText" dxfId="1868" priority="3737" operator="containsText" text="Pesquisa de Preços">
      <formula>NOT(ISERROR(SEARCH("Pesquisa de Preços",D820)))</formula>
    </cfRule>
  </conditionalFormatting>
  <conditionalFormatting sqref="D821">
    <cfRule type="containsText" dxfId="1867" priority="3736" operator="containsText" text="Pesquisa de Preços">
      <formula>NOT(ISERROR(SEARCH("Pesquisa de Preços",D821)))</formula>
    </cfRule>
  </conditionalFormatting>
  <conditionalFormatting sqref="D54">
    <cfRule type="containsText" dxfId="1866" priority="3719" operator="containsText" text="Pesquisa de Preços">
      <formula>NOT(ISERROR(SEARCH("Pesquisa de Preços",D54)))</formula>
    </cfRule>
  </conditionalFormatting>
  <conditionalFormatting sqref="D450">
    <cfRule type="containsText" dxfId="1865" priority="3735" operator="containsText" text="Pesquisa de Preços">
      <formula>NOT(ISERROR(SEARCH("Pesquisa de Preços",D450)))</formula>
    </cfRule>
  </conditionalFormatting>
  <conditionalFormatting sqref="D449">
    <cfRule type="containsText" dxfId="1864" priority="3734" operator="containsText" text="Pesquisa de Preços">
      <formula>NOT(ISERROR(SEARCH("Pesquisa de Preços",D449)))</formula>
    </cfRule>
  </conditionalFormatting>
  <conditionalFormatting sqref="D448">
    <cfRule type="containsText" dxfId="1863" priority="3733" operator="containsText" text="Pesquisa de Preços">
      <formula>NOT(ISERROR(SEARCH("Pesquisa de Preços",D448)))</formula>
    </cfRule>
  </conditionalFormatting>
  <conditionalFormatting sqref="D206">
    <cfRule type="containsText" dxfId="1862" priority="3732" operator="containsText" text="Pesquisa de Preços">
      <formula>NOT(ISERROR(SEARCH("Pesquisa de Preços",D206)))</formula>
    </cfRule>
  </conditionalFormatting>
  <conditionalFormatting sqref="D103:D104">
    <cfRule type="containsText" dxfId="1861" priority="3731" operator="containsText" text="Pesquisa de Preços">
      <formula>NOT(ISERROR(SEARCH("Pesquisa de Preços",D103)))</formula>
    </cfRule>
  </conditionalFormatting>
  <conditionalFormatting sqref="D423:D424">
    <cfRule type="containsText" dxfId="1860" priority="3730" operator="containsText" text="Pesquisa de Preços">
      <formula>NOT(ISERROR(SEARCH("Pesquisa de Preços",D423)))</formula>
    </cfRule>
  </conditionalFormatting>
  <conditionalFormatting sqref="D425:D427">
    <cfRule type="containsText" dxfId="1859" priority="3729" operator="containsText" text="Pesquisa de Preços">
      <formula>NOT(ISERROR(SEARCH("Pesquisa de Preços",D425)))</formula>
    </cfRule>
  </conditionalFormatting>
  <conditionalFormatting sqref="D616 D620">
    <cfRule type="containsText" dxfId="1858" priority="3728" operator="containsText" text="Pesquisa de Preços">
      <formula>NOT(ISERROR(SEARCH("Pesquisa de Preços",D616)))</formula>
    </cfRule>
  </conditionalFormatting>
  <conditionalFormatting sqref="D589 D595">
    <cfRule type="containsText" dxfId="1857" priority="3726" operator="containsText" text="Pesquisa de Preços">
      <formula>NOT(ISERROR(SEARCH("Pesquisa de Preços",D589)))</formula>
    </cfRule>
  </conditionalFormatting>
  <conditionalFormatting sqref="D638:D639 D642:D643">
    <cfRule type="containsText" dxfId="1856" priority="3724" operator="containsText" text="Pesquisa de Preços">
      <formula>NOT(ISERROR(SEARCH("Pesquisa de Preços",D638)))</formula>
    </cfRule>
  </conditionalFormatting>
  <conditionalFormatting sqref="D640:D641">
    <cfRule type="containsText" dxfId="1855" priority="3723" operator="containsText" text="Pesquisa de Preços">
      <formula>NOT(ISERROR(SEARCH("Pesquisa de Preços",D640)))</formula>
    </cfRule>
  </conditionalFormatting>
  <conditionalFormatting sqref="D1719">
    <cfRule type="containsText" dxfId="1854" priority="3630" operator="containsText" text="Pesquisa de Preços">
      <formula>NOT(ISERROR(SEARCH("Pesquisa de Preços",D1719)))</formula>
    </cfRule>
  </conditionalFormatting>
  <conditionalFormatting sqref="D226">
    <cfRule type="containsText" dxfId="1853" priority="3722" operator="containsText" text="Pesquisa de Preços">
      <formula>NOT(ISERROR(SEARCH("Pesquisa de Preços",D226)))</formula>
    </cfRule>
  </conditionalFormatting>
  <conditionalFormatting sqref="D152">
    <cfRule type="containsText" dxfId="1852" priority="3721" operator="containsText" text="Pesquisa de Preços">
      <formula>NOT(ISERROR(SEARCH("Pesquisa de Preços",D152)))</formula>
    </cfRule>
  </conditionalFormatting>
  <conditionalFormatting sqref="D164">
    <cfRule type="containsText" dxfId="1851" priority="3720" operator="containsText" text="Pesquisa de Preços">
      <formula>NOT(ISERROR(SEARCH("Pesquisa de Preços",D164)))</formula>
    </cfRule>
  </conditionalFormatting>
  <conditionalFormatting sqref="D55:D57">
    <cfRule type="containsText" dxfId="1850" priority="3718" operator="containsText" text="Pesquisa de Preços">
      <formula>NOT(ISERROR(SEARCH("Pesquisa de Preços",D55)))</formula>
    </cfRule>
  </conditionalFormatting>
  <conditionalFormatting sqref="D30:D31">
    <cfRule type="containsText" dxfId="1849" priority="3717" operator="containsText" text="Pesquisa de Preços">
      <formula>NOT(ISERROR(SEARCH("Pesquisa de Preços",D30)))</formula>
    </cfRule>
  </conditionalFormatting>
  <conditionalFormatting sqref="D25:D26">
    <cfRule type="containsText" dxfId="1848" priority="3716" operator="containsText" text="Pesquisa de Preços">
      <formula>NOT(ISERROR(SEARCH("Pesquisa de Preços",D25)))</formula>
    </cfRule>
  </conditionalFormatting>
  <conditionalFormatting sqref="D181">
    <cfRule type="containsText" dxfId="1847" priority="3715" operator="containsText" text="Pesquisa de Preços">
      <formula>NOT(ISERROR(SEARCH("Pesquisa de Preços",D181)))</formula>
    </cfRule>
  </conditionalFormatting>
  <conditionalFormatting sqref="D128:D129">
    <cfRule type="containsText" dxfId="1846" priority="3714" operator="containsText" text="Pesquisa de Preços">
      <formula>NOT(ISERROR(SEARCH("Pesquisa de Preços",D128)))</formula>
    </cfRule>
  </conditionalFormatting>
  <conditionalFormatting sqref="D1920">
    <cfRule type="containsText" dxfId="1845" priority="3622" operator="containsText" text="Pesquisa de Preços">
      <formula>NOT(ISERROR(SEARCH("Pesquisa de Preços",D1920)))</formula>
    </cfRule>
  </conditionalFormatting>
  <conditionalFormatting sqref="D84">
    <cfRule type="containsText" dxfId="1844" priority="3713" operator="containsText" text="Pesquisa de Preços">
      <formula>NOT(ISERROR(SEARCH("Pesquisa de Preços",D84)))</formula>
    </cfRule>
  </conditionalFormatting>
  <conditionalFormatting sqref="D85">
    <cfRule type="containsText" dxfId="1843" priority="3712" operator="containsText" text="Pesquisa de Preços">
      <formula>NOT(ISERROR(SEARCH("Pesquisa de Preços",D85)))</formula>
    </cfRule>
  </conditionalFormatting>
  <conditionalFormatting sqref="D61">
    <cfRule type="containsText" dxfId="1842" priority="3711" operator="containsText" text="Pesquisa de Preços">
      <formula>NOT(ISERROR(SEARCH("Pesquisa de Preços",D61)))</formula>
    </cfRule>
  </conditionalFormatting>
  <conditionalFormatting sqref="D62">
    <cfRule type="containsText" dxfId="1841" priority="3710" operator="containsText" text="Pesquisa de Preços">
      <formula>NOT(ISERROR(SEARCH("Pesquisa de Preços",D62)))</formula>
    </cfRule>
  </conditionalFormatting>
  <conditionalFormatting sqref="D2346">
    <cfRule type="containsText" dxfId="1840" priority="3619" operator="containsText" text="Pesquisa de Preços">
      <formula>NOT(ISERROR(SEARCH("Pesquisa de Preços",D2346)))</formula>
    </cfRule>
  </conditionalFormatting>
  <conditionalFormatting sqref="D311">
    <cfRule type="containsText" dxfId="1839" priority="3709" operator="containsText" text="Pesquisa de Preços">
      <formula>NOT(ISERROR(SEARCH("Pesquisa de Preços",D311)))</formula>
    </cfRule>
  </conditionalFormatting>
  <conditionalFormatting sqref="D297">
    <cfRule type="containsText" dxfId="1838" priority="3707" operator="containsText" text="Pesquisa de Preços">
      <formula>NOT(ISERROR(SEARCH("Pesquisa de Preços",D297)))</formula>
    </cfRule>
  </conditionalFormatting>
  <conditionalFormatting sqref="D457">
    <cfRule type="containsText" dxfId="1837" priority="3706" operator="containsText" text="Pesquisa de Preços">
      <formula>NOT(ISERROR(SEARCH("Pesquisa de Preços",D457)))</formula>
    </cfRule>
  </conditionalFormatting>
  <conditionalFormatting sqref="D467">
    <cfRule type="containsText" dxfId="1836" priority="3705" operator="containsText" text="Pesquisa de Preços">
      <formula>NOT(ISERROR(SEARCH("Pesquisa de Preços",D467)))</formula>
    </cfRule>
  </conditionalFormatting>
  <conditionalFormatting sqref="D623">
    <cfRule type="containsText" dxfId="1835" priority="3704" operator="containsText" text="Pesquisa de Preços">
      <formula>NOT(ISERROR(SEARCH("Pesquisa de Preços",D623)))</formula>
    </cfRule>
  </conditionalFormatting>
  <conditionalFormatting sqref="D624:D626">
    <cfRule type="containsText" dxfId="1834" priority="3703" operator="containsText" text="Pesquisa de Preços">
      <formula>NOT(ISERROR(SEARCH("Pesquisa de Preços",D624)))</formula>
    </cfRule>
  </conditionalFormatting>
  <conditionalFormatting sqref="D733:D734">
    <cfRule type="containsText" dxfId="1833" priority="3702" operator="containsText" text="Pesquisa de Preços">
      <formula>NOT(ISERROR(SEARCH("Pesquisa de Preços",D733)))</formula>
    </cfRule>
  </conditionalFormatting>
  <conditionalFormatting sqref="D732">
    <cfRule type="containsText" dxfId="1832" priority="3701" operator="containsText" text="Pesquisa de Preços">
      <formula>NOT(ISERROR(SEARCH("Pesquisa de Preços",D732)))</formula>
    </cfRule>
  </conditionalFormatting>
  <conditionalFormatting sqref="D993">
    <cfRule type="containsText" dxfId="1831" priority="3700" operator="containsText" text="Pesquisa de Preços">
      <formula>NOT(ISERROR(SEARCH("Pesquisa de Preços",D993)))</formula>
    </cfRule>
  </conditionalFormatting>
  <conditionalFormatting sqref="D607 D614">
    <cfRule type="containsText" dxfId="1830" priority="3684" operator="containsText" text="Pesquisa de Preços">
      <formula>NOT(ISERROR(SEARCH("Pesquisa de Preços",D607)))</formula>
    </cfRule>
  </conditionalFormatting>
  <conditionalFormatting sqref="D737">
    <cfRule type="containsText" dxfId="1829" priority="3680" operator="containsText" text="Pesquisa de Preços">
      <formula>NOT(ISERROR(SEARCH("Pesquisa de Preços",D737)))</formula>
    </cfRule>
  </conditionalFormatting>
  <conditionalFormatting sqref="D591:D593">
    <cfRule type="containsText" dxfId="1828" priority="3689" operator="containsText" text="Pesquisa de Preços">
      <formula>NOT(ISERROR(SEARCH("Pesquisa de Preços",D591)))</formula>
    </cfRule>
  </conditionalFormatting>
  <conditionalFormatting sqref="D1624:D1625">
    <cfRule type="containsText" dxfId="1827" priority="3695" operator="containsText" text="Pesquisa de Preços">
      <formula>NOT(ISERROR(SEARCH("Pesquisa de Preços",D1624)))</formula>
    </cfRule>
  </conditionalFormatting>
  <conditionalFormatting sqref="D1600">
    <cfRule type="containsText" dxfId="1826" priority="3699" operator="containsText" text="Pesquisa de Preços">
      <formula>NOT(ISERROR(SEARCH("Pesquisa de Preços",D1600)))</formula>
    </cfRule>
  </conditionalFormatting>
  <conditionalFormatting sqref="D1629">
    <cfRule type="containsText" dxfId="1825" priority="3698" operator="containsText" text="Pesquisa de Preços">
      <formula>NOT(ISERROR(SEARCH("Pesquisa de Preços",D1629)))</formula>
    </cfRule>
  </conditionalFormatting>
  <conditionalFormatting sqref="D1630:D1631">
    <cfRule type="containsText" dxfId="1824" priority="3697" operator="containsText" text="Pesquisa de Preços">
      <formula>NOT(ISERROR(SEARCH("Pesquisa de Preços",D1630)))</formula>
    </cfRule>
  </conditionalFormatting>
  <conditionalFormatting sqref="D1623">
    <cfRule type="containsText" dxfId="1823" priority="3696" operator="containsText" text="Pesquisa de Preços">
      <formula>NOT(ISERROR(SEARCH("Pesquisa de Preços",D1623)))</formula>
    </cfRule>
  </conditionalFormatting>
  <conditionalFormatting sqref="D1890 D1892">
    <cfRule type="containsText" dxfId="1822" priority="3694" operator="containsText" text="Pesquisa de Preços">
      <formula>NOT(ISERROR(SEARCH("Pesquisa de Preços",D1890)))</formula>
    </cfRule>
  </conditionalFormatting>
  <conditionalFormatting sqref="D1891">
    <cfRule type="containsText" dxfId="1821" priority="3693" operator="containsText" text="Pesquisa de Preços">
      <formula>NOT(ISERROR(SEARCH("Pesquisa de Preços",D1891)))</formula>
    </cfRule>
  </conditionalFormatting>
  <conditionalFormatting sqref="D1884 D1886">
    <cfRule type="containsText" dxfId="1820" priority="3692" operator="containsText" text="Pesquisa de Preços">
      <formula>NOT(ISERROR(SEARCH("Pesquisa de Preços",D1884)))</formula>
    </cfRule>
  </conditionalFormatting>
  <conditionalFormatting sqref="D1885">
    <cfRule type="containsText" dxfId="1819" priority="3691" operator="containsText" text="Pesquisa de Preços">
      <formula>NOT(ISERROR(SEARCH("Pesquisa de Preços",D1885)))</formula>
    </cfRule>
  </conditionalFormatting>
  <conditionalFormatting sqref="D382:D392">
    <cfRule type="containsText" dxfId="1818" priority="3687" operator="containsText" text="Pesquisa de Preços">
      <formula>NOT(ISERROR(SEARCH("Pesquisa de Preços",D382)))</formula>
    </cfRule>
  </conditionalFormatting>
  <conditionalFormatting sqref="D381">
    <cfRule type="containsText" dxfId="1817" priority="3688" operator="containsText" text="Pesquisa de Preços">
      <formula>NOT(ISERROR(SEARCH("Pesquisa de Preços",D381)))</formula>
    </cfRule>
  </conditionalFormatting>
  <conditionalFormatting sqref="D1067:D1068">
    <cfRule type="containsText" dxfId="1816" priority="3588" operator="containsText" text="Pesquisa de Preços">
      <formula>NOT(ISERROR(SEARCH("Pesquisa de Preços",D1067)))</formula>
    </cfRule>
  </conditionalFormatting>
  <conditionalFormatting sqref="D605">
    <cfRule type="containsText" dxfId="1815" priority="3686" operator="containsText" text="Pesquisa de Preços">
      <formula>NOT(ISERROR(SEARCH("Pesquisa de Preços",D605)))</formula>
    </cfRule>
  </conditionalFormatting>
  <conditionalFormatting sqref="D597">
    <cfRule type="containsText" dxfId="1814" priority="3685" operator="containsText" text="Pesquisa de Preços">
      <formula>NOT(ISERROR(SEARCH("Pesquisa de Preços",D597)))</formula>
    </cfRule>
  </conditionalFormatting>
  <conditionalFormatting sqref="D1080:D1082 D1084">
    <cfRule type="containsText" dxfId="1813" priority="3587" operator="containsText" text="Pesquisa de Preços">
      <formula>NOT(ISERROR(SEARCH("Pesquisa de Preços",D1080)))</formula>
    </cfRule>
  </conditionalFormatting>
  <conditionalFormatting sqref="D598">
    <cfRule type="containsText" dxfId="1812" priority="3683" operator="containsText" text="Pesquisa de Preços">
      <formula>NOT(ISERROR(SEARCH("Pesquisa de Preços",D598)))</formula>
    </cfRule>
  </conditionalFormatting>
  <conditionalFormatting sqref="D608">
    <cfRule type="containsText" dxfId="1811" priority="3682" operator="containsText" text="Pesquisa de Preços">
      <formula>NOT(ISERROR(SEARCH("Pesquisa de Preços",D608)))</formula>
    </cfRule>
  </conditionalFormatting>
  <conditionalFormatting sqref="D631">
    <cfRule type="containsText" dxfId="1810" priority="3677" operator="containsText" text="Pesquisa de Preços">
      <formula>NOT(ISERROR(SEARCH("Pesquisa de Preços",D631)))</formula>
    </cfRule>
  </conditionalFormatting>
  <conditionalFormatting sqref="D630 D635:D636">
    <cfRule type="containsText" dxfId="1809" priority="3678" operator="containsText" text="Pesquisa de Preços">
      <formula>NOT(ISERROR(SEARCH("Pesquisa de Preços",D630)))</formula>
    </cfRule>
  </conditionalFormatting>
  <conditionalFormatting sqref="D1253 D1257:D1258">
    <cfRule type="containsText" dxfId="1808" priority="3674" operator="containsText" text="Pesquisa de Preços">
      <formula>NOT(ISERROR(SEARCH("Pesquisa de Preços",D1253)))</formula>
    </cfRule>
  </conditionalFormatting>
  <conditionalFormatting sqref="D632:D634">
    <cfRule type="containsText" dxfId="1807" priority="3676" operator="containsText" text="Pesquisa de Preços">
      <formula>NOT(ISERROR(SEARCH("Pesquisa de Preços",D632)))</formula>
    </cfRule>
  </conditionalFormatting>
  <conditionalFormatting sqref="D1255">
    <cfRule type="containsText" dxfId="1806" priority="3673" operator="containsText" text="Pesquisa de Preços">
      <formula>NOT(ISERROR(SEARCH("Pesquisa de Preços",D1255)))</formula>
    </cfRule>
  </conditionalFormatting>
  <conditionalFormatting sqref="D1155 D1159:D1160">
    <cfRule type="containsText" dxfId="1805" priority="3671" operator="containsText" text="Pesquisa de Preços">
      <formula>NOT(ISERROR(SEARCH("Pesquisa de Preços",D1155)))</formula>
    </cfRule>
  </conditionalFormatting>
  <conditionalFormatting sqref="D1211 D1215:D1216">
    <cfRule type="containsText" dxfId="1804" priority="3669" operator="containsText" text="Pesquisa de Preços">
      <formula>NOT(ISERROR(SEARCH("Pesquisa de Preços",D1211)))</formula>
    </cfRule>
  </conditionalFormatting>
  <conditionalFormatting sqref="D1214">
    <cfRule type="containsText" dxfId="1803" priority="3668" operator="containsText" text="Pesquisa de Preços">
      <formula>NOT(ISERROR(SEARCH("Pesquisa de Preços",D1214)))</formula>
    </cfRule>
  </conditionalFormatting>
  <conditionalFormatting sqref="D670">
    <cfRule type="containsText" dxfId="1802" priority="3667" operator="containsText" text="Pesquisa de Preços">
      <formula>NOT(ISERROR(SEARCH("Pesquisa de Preços",D670)))</formula>
    </cfRule>
  </conditionalFormatting>
  <conditionalFormatting sqref="D738">
    <cfRule type="containsText" dxfId="1801" priority="3666" operator="containsText" text="Pesquisa de Preços">
      <formula>NOT(ISERROR(SEARCH("Pesquisa de Preços",D738)))</formula>
    </cfRule>
  </conditionalFormatting>
  <conditionalFormatting sqref="D865:D866">
    <cfRule type="containsText" dxfId="1800" priority="3663" operator="containsText" text="Pesquisa de Preços">
      <formula>NOT(ISERROR(SEARCH("Pesquisa de Preços",D865)))</formula>
    </cfRule>
  </conditionalFormatting>
  <conditionalFormatting sqref="D1296">
    <cfRule type="containsText" dxfId="1799" priority="3661" operator="containsText" text="Pesquisa de Preços">
      <formula>NOT(ISERROR(SEARCH("Pesquisa de Preços",D1296)))</formula>
    </cfRule>
  </conditionalFormatting>
  <conditionalFormatting sqref="D1350">
    <cfRule type="containsText" dxfId="1798" priority="3658" operator="containsText" text="Pesquisa de Preços">
      <formula>NOT(ISERROR(SEARCH("Pesquisa de Preços",D1350)))</formula>
    </cfRule>
  </conditionalFormatting>
  <conditionalFormatting sqref="D1509">
    <cfRule type="containsText" dxfId="1797" priority="3586" operator="containsText" text="Pesquisa de Preços">
      <formula>NOT(ISERROR(SEARCH("Pesquisa de Preços",D1509)))</formula>
    </cfRule>
  </conditionalFormatting>
  <conditionalFormatting sqref="D208">
    <cfRule type="containsText" dxfId="1796" priority="3655" operator="containsText" text="Pesquisa de Preços">
      <formula>NOT(ISERROR(SEARCH("Pesquisa de Preços",D208)))</formula>
    </cfRule>
  </conditionalFormatting>
  <conditionalFormatting sqref="D1618">
    <cfRule type="containsText" dxfId="1795" priority="3651" operator="containsText" text="Pesquisa de Preços">
      <formula>NOT(ISERROR(SEARCH("Pesquisa de Preços",D1618)))</formula>
    </cfRule>
  </conditionalFormatting>
  <conditionalFormatting sqref="D1611">
    <cfRule type="containsText" dxfId="1794" priority="3647" operator="containsText" text="Pesquisa de Preços">
      <formula>NOT(ISERROR(SEARCH("Pesquisa de Preços",D1611)))</formula>
    </cfRule>
  </conditionalFormatting>
  <conditionalFormatting sqref="D1674">
    <cfRule type="containsText" dxfId="1793" priority="3645" operator="containsText" text="Pesquisa de Preços">
      <formula>NOT(ISERROR(SEARCH("Pesquisa de Preços",D1674)))</formula>
    </cfRule>
  </conditionalFormatting>
  <conditionalFormatting sqref="D1613">
    <cfRule type="containsText" dxfId="1792" priority="3643" operator="containsText" text="Pesquisa de Preços">
      <formula>NOT(ISERROR(SEARCH("Pesquisa de Preços",D1613)))</formula>
    </cfRule>
  </conditionalFormatting>
  <conditionalFormatting sqref="D142">
    <cfRule type="containsText" dxfId="1791" priority="3642" operator="containsText" text="Pesquisa de Preços">
      <formula>NOT(ISERROR(SEARCH("Pesquisa de Preços",D142)))</formula>
    </cfRule>
  </conditionalFormatting>
  <conditionalFormatting sqref="D802">
    <cfRule type="containsText" dxfId="1790" priority="3641" operator="containsText" text="Pesquisa de Preços">
      <formula>NOT(ISERROR(SEARCH("Pesquisa de Preços",D802)))</formula>
    </cfRule>
  </conditionalFormatting>
  <conditionalFormatting sqref="D1001">
    <cfRule type="containsText" dxfId="1789" priority="3640" operator="containsText" text="Pesquisa de Preços">
      <formula>NOT(ISERROR(SEARCH("Pesquisa de Preços",D1001)))</formula>
    </cfRule>
  </conditionalFormatting>
  <conditionalFormatting sqref="D1006">
    <cfRule type="containsText" dxfId="1788" priority="3639" operator="containsText" text="Pesquisa de Preços">
      <formula>NOT(ISERROR(SEARCH("Pesquisa de Preços",D1006)))</formula>
    </cfRule>
  </conditionalFormatting>
  <conditionalFormatting sqref="D89">
    <cfRule type="containsText" dxfId="1787" priority="3638" operator="containsText" text="Pesquisa de Preços">
      <formula>NOT(ISERROR(SEARCH("Pesquisa de Preços",D89)))</formula>
    </cfRule>
  </conditionalFormatting>
  <conditionalFormatting sqref="D90">
    <cfRule type="containsText" dxfId="1786" priority="3637" operator="containsText" text="Pesquisa de Preços">
      <formula>NOT(ISERROR(SEARCH("Pesquisa de Preços",D90)))</formula>
    </cfRule>
  </conditionalFormatting>
  <conditionalFormatting sqref="D1457">
    <cfRule type="containsText" dxfId="1785" priority="3585" operator="containsText" text="Pesquisa de Preços">
      <formula>NOT(ISERROR(SEARCH("Pesquisa de Preços",D1457)))</formula>
    </cfRule>
  </conditionalFormatting>
  <conditionalFormatting sqref="D113">
    <cfRule type="containsText" dxfId="1784" priority="3636" operator="containsText" text="Pesquisa de Preços">
      <formula>NOT(ISERROR(SEARCH("Pesquisa de Preços",D113)))</formula>
    </cfRule>
  </conditionalFormatting>
  <conditionalFormatting sqref="D114">
    <cfRule type="containsText" dxfId="1783" priority="3635" operator="containsText" text="Pesquisa de Preços">
      <formula>NOT(ISERROR(SEARCH("Pesquisa de Preços",D114)))</formula>
    </cfRule>
  </conditionalFormatting>
  <conditionalFormatting sqref="D1480">
    <cfRule type="containsText" dxfId="1782" priority="3584" operator="containsText" text="Pesquisa de Preços">
      <formula>NOT(ISERROR(SEARCH("Pesquisa de Preços",D1480)))</formula>
    </cfRule>
  </conditionalFormatting>
  <conditionalFormatting sqref="D1692:D1693">
    <cfRule type="containsText" dxfId="1781" priority="3634" operator="containsText" text="Pesquisa de Preços">
      <formula>NOT(ISERROR(SEARCH("Pesquisa de Preços",D1692)))</formula>
    </cfRule>
  </conditionalFormatting>
  <conditionalFormatting sqref="D1658">
    <cfRule type="containsText" dxfId="1780" priority="3633" operator="containsText" text="Pesquisa de Preços">
      <formula>NOT(ISERROR(SEARCH("Pesquisa de Preços",D1658)))</formula>
    </cfRule>
  </conditionalFormatting>
  <conditionalFormatting sqref="D1741">
    <cfRule type="containsText" dxfId="1779" priority="3632" operator="containsText" text="Pesquisa de Preços">
      <formula>NOT(ISERROR(SEARCH("Pesquisa de Preços",D1741)))</formula>
    </cfRule>
  </conditionalFormatting>
  <conditionalFormatting sqref="D1720">
    <cfRule type="containsText" dxfId="1778" priority="3631" operator="containsText" text="Pesquisa de Preços">
      <formula>NOT(ISERROR(SEARCH("Pesquisa de Preços",D1720)))</formula>
    </cfRule>
  </conditionalFormatting>
  <conditionalFormatting sqref="D1705">
    <cfRule type="containsText" dxfId="1777" priority="3629" operator="containsText" text="Pesquisa de Preços">
      <formula>NOT(ISERROR(SEARCH("Pesquisa de Preços",D1705)))</formula>
    </cfRule>
  </conditionalFormatting>
  <conditionalFormatting sqref="D1706">
    <cfRule type="containsText" dxfId="1776" priority="3628" operator="containsText" text="Pesquisa de Preços">
      <formula>NOT(ISERROR(SEARCH("Pesquisa de Preços",D1706)))</formula>
    </cfRule>
  </conditionalFormatting>
  <conditionalFormatting sqref="D1823">
    <cfRule type="containsText" dxfId="1775" priority="3627" operator="containsText" text="Pesquisa de Preços">
      <formula>NOT(ISERROR(SEARCH("Pesquisa de Preços",D1823)))</formula>
    </cfRule>
  </conditionalFormatting>
  <conditionalFormatting sqref="D1830">
    <cfRule type="containsText" dxfId="1774" priority="3626" operator="containsText" text="Pesquisa de Preços">
      <formula>NOT(ISERROR(SEARCH("Pesquisa de Preços",D1830)))</formula>
    </cfRule>
  </conditionalFormatting>
  <conditionalFormatting sqref="D1829">
    <cfRule type="containsText" dxfId="1773" priority="3625" operator="containsText" text="Pesquisa de Preços">
      <formula>NOT(ISERROR(SEARCH("Pesquisa de Preços",D1829)))</formula>
    </cfRule>
  </conditionalFormatting>
  <conditionalFormatting sqref="D1837">
    <cfRule type="containsText" dxfId="1772" priority="3624" operator="containsText" text="Pesquisa de Preços">
      <formula>NOT(ISERROR(SEARCH("Pesquisa de Preços",D1837)))</formula>
    </cfRule>
  </conditionalFormatting>
  <conditionalFormatting sqref="D1836">
    <cfRule type="containsText" dxfId="1771" priority="3623" operator="containsText" text="Pesquisa de Preços">
      <formula>NOT(ISERROR(SEARCH("Pesquisa de Preços",D1836)))</formula>
    </cfRule>
  </conditionalFormatting>
  <conditionalFormatting sqref="D1919">
    <cfRule type="containsText" dxfId="1770" priority="3621" operator="containsText" text="Pesquisa de Preços">
      <formula>NOT(ISERROR(SEARCH("Pesquisa de Preços",D1919)))</formula>
    </cfRule>
  </conditionalFormatting>
  <conditionalFormatting sqref="D841">
    <cfRule type="containsText" dxfId="1769" priority="3620" operator="containsText" text="Pesquisa de Preços">
      <formula>NOT(ISERROR(SEARCH("Pesquisa de Preços",D841)))</formula>
    </cfRule>
  </conditionalFormatting>
  <conditionalFormatting sqref="D2383">
    <cfRule type="containsText" dxfId="1768" priority="3618" operator="containsText" text="Pesquisa de Preços">
      <formula>NOT(ISERROR(SEARCH("Pesquisa de Preços",D2383)))</formula>
    </cfRule>
  </conditionalFormatting>
  <conditionalFormatting sqref="D2382">
    <cfRule type="containsText" dxfId="1767" priority="3617" operator="containsText" text="Pesquisa de Preços">
      <formula>NOT(ISERROR(SEARCH("Pesquisa de Preços",D2382)))</formula>
    </cfRule>
  </conditionalFormatting>
  <conditionalFormatting sqref="D2253">
    <cfRule type="containsText" dxfId="1766" priority="3616" operator="containsText" text="Pesquisa de Preços">
      <formula>NOT(ISERROR(SEARCH("Pesquisa de Preços",D2253)))</formula>
    </cfRule>
  </conditionalFormatting>
  <conditionalFormatting sqref="D2252">
    <cfRule type="containsText" dxfId="1765" priority="3615" operator="containsText" text="Pesquisa de Preços">
      <formula>NOT(ISERROR(SEARCH("Pesquisa de Preços",D2252)))</formula>
    </cfRule>
  </conditionalFormatting>
  <conditionalFormatting sqref="D2375">
    <cfRule type="containsText" dxfId="1764" priority="3614" operator="containsText" text="Pesquisa de Preços">
      <formula>NOT(ISERROR(SEARCH("Pesquisa de Preços",D2375)))</formula>
    </cfRule>
  </conditionalFormatting>
  <conditionalFormatting sqref="D2376">
    <cfRule type="containsText" dxfId="1763" priority="3613" operator="containsText" text="Pesquisa de Preços">
      <formula>NOT(ISERROR(SEARCH("Pesquisa de Preços",D2376)))</formula>
    </cfRule>
  </conditionalFormatting>
  <conditionalFormatting sqref="D133">
    <cfRule type="containsText" dxfId="1762" priority="3612" operator="containsText" text="Pesquisa de Preços">
      <formula>NOT(ISERROR(SEARCH("Pesquisa de Preços",D133)))</formula>
    </cfRule>
  </conditionalFormatting>
  <conditionalFormatting sqref="D1640">
    <cfRule type="containsText" dxfId="1761" priority="3611" operator="containsText" text="Pesquisa de Preços">
      <formula>NOT(ISERROR(SEARCH("Pesquisa de Preços",D1640)))</formula>
    </cfRule>
  </conditionalFormatting>
  <conditionalFormatting sqref="D1641">
    <cfRule type="containsText" dxfId="1760" priority="3610" operator="containsText" text="Pesquisa de Preços">
      <formula>NOT(ISERROR(SEARCH("Pesquisa de Preços",D1641)))</formula>
    </cfRule>
  </conditionalFormatting>
  <conditionalFormatting sqref="D1957">
    <cfRule type="containsText" dxfId="1759" priority="3583" operator="containsText" text="Pesquisa de Preços">
      <formula>NOT(ISERROR(SEARCH("Pesquisa de Preços",D1957)))</formula>
    </cfRule>
  </conditionalFormatting>
  <conditionalFormatting sqref="D80">
    <cfRule type="containsText" dxfId="1758" priority="3609" operator="containsText" text="Pesquisa de Preços">
      <formula>NOT(ISERROR(SEARCH("Pesquisa de Preços",D80)))</formula>
    </cfRule>
  </conditionalFormatting>
  <conditionalFormatting sqref="D1131">
    <cfRule type="containsText" dxfId="1757" priority="3608" operator="containsText" text="Pesquisa de Preços">
      <formula>NOT(ISERROR(SEARCH("Pesquisa de Preços",D1131)))</formula>
    </cfRule>
  </conditionalFormatting>
  <conditionalFormatting sqref="D403:D413">
    <cfRule type="containsText" dxfId="1756" priority="3607" operator="containsText" text="Pesquisa de Preços">
      <formula>NOT(ISERROR(SEARCH("Pesquisa de Preços",D403)))</formula>
    </cfRule>
  </conditionalFormatting>
  <conditionalFormatting sqref="D417">
    <cfRule type="containsText" dxfId="1755" priority="3606" operator="containsText" text="Pesquisa de Preços">
      <formula>NOT(ISERROR(SEARCH("Pesquisa de Preços",D417)))</formula>
    </cfRule>
  </conditionalFormatting>
  <conditionalFormatting sqref="D418">
    <cfRule type="containsText" dxfId="1754" priority="3605" operator="containsText" text="Pesquisa de Preços">
      <formula>NOT(ISERROR(SEARCH("Pesquisa de Preços",D418)))</formula>
    </cfRule>
  </conditionalFormatting>
  <conditionalFormatting sqref="D417">
    <cfRule type="containsText" dxfId="1753" priority="3604" operator="containsText" text="Pesquisa de Preços">
      <formula>NOT(ISERROR(SEARCH("Pesquisa de Preços",D417)))</formula>
    </cfRule>
  </conditionalFormatting>
  <conditionalFormatting sqref="D418">
    <cfRule type="containsText" dxfId="1752" priority="3603" operator="containsText" text="Pesquisa de Preços">
      <formula>NOT(ISERROR(SEARCH("Pesquisa de Preços",D418)))</formula>
    </cfRule>
  </conditionalFormatting>
  <conditionalFormatting sqref="D419:D420">
    <cfRule type="containsText" dxfId="1751" priority="3602" operator="containsText" text="Pesquisa de Preços">
      <formula>NOT(ISERROR(SEARCH("Pesquisa de Preços",D419)))</formula>
    </cfRule>
  </conditionalFormatting>
  <conditionalFormatting sqref="D195">
    <cfRule type="containsText" dxfId="1750" priority="3601" operator="containsText" text="Pesquisa de Preços">
      <formula>NOT(ISERROR(SEARCH("Pesquisa de Preços",D195)))</formula>
    </cfRule>
  </conditionalFormatting>
  <conditionalFormatting sqref="D834:D838">
    <cfRule type="containsText" dxfId="1749" priority="3600" operator="containsText" text="Pesquisa de Preços">
      <formula>NOT(ISERROR(SEARCH("Pesquisa de Preços",D834)))</formula>
    </cfRule>
  </conditionalFormatting>
  <conditionalFormatting sqref="D834:D838">
    <cfRule type="containsText" dxfId="1748" priority="3599" operator="containsText" text="Pesquisa de Preços">
      <formula>NOT(ISERROR(SEARCH("Pesquisa de Preços",D834)))</formula>
    </cfRule>
  </conditionalFormatting>
  <conditionalFormatting sqref="D1929">
    <cfRule type="containsText" dxfId="1747" priority="3598" operator="containsText" text="Pesquisa de Preços">
      <formula>NOT(ISERROR(SEARCH("Pesquisa de Preços",D1929)))</formula>
    </cfRule>
  </conditionalFormatting>
  <conditionalFormatting sqref="D1930">
    <cfRule type="containsText" dxfId="1746" priority="3597" operator="containsText" text="Pesquisa de Preços">
      <formula>NOT(ISERROR(SEARCH("Pesquisa de Preços",D1930)))</formula>
    </cfRule>
  </conditionalFormatting>
  <conditionalFormatting sqref="D812">
    <cfRule type="containsText" dxfId="1745" priority="3596" operator="containsText" text="Pesquisa de Preços">
      <formula>NOT(ISERROR(SEARCH("Pesquisa de Preços",D812)))</formula>
    </cfRule>
  </conditionalFormatting>
  <conditionalFormatting sqref="D769">
    <cfRule type="containsText" dxfId="1744" priority="3595" operator="containsText" text="Pesquisa de Preços">
      <formula>NOT(ISERROR(SEARCH("Pesquisa de Preços",D769)))</formula>
    </cfRule>
  </conditionalFormatting>
  <conditionalFormatting sqref="D768">
    <cfRule type="containsText" dxfId="1743" priority="3594" operator="containsText" text="Pesquisa de Preços">
      <formula>NOT(ISERROR(SEARCH("Pesquisa de Preços",D768)))</formula>
    </cfRule>
  </conditionalFormatting>
  <conditionalFormatting sqref="D852">
    <cfRule type="containsText" dxfId="1742" priority="3593" operator="containsText" text="Pesquisa de Preços">
      <formula>NOT(ISERROR(SEARCH("Pesquisa de Preços",D852)))</formula>
    </cfRule>
  </conditionalFormatting>
  <conditionalFormatting sqref="D869">
    <cfRule type="containsText" dxfId="1741" priority="3592" operator="containsText" text="Pesquisa de Preços">
      <formula>NOT(ISERROR(SEARCH("Pesquisa de Preços",D869)))</formula>
    </cfRule>
  </conditionalFormatting>
  <conditionalFormatting sqref="D871:D872">
    <cfRule type="containsText" dxfId="1740" priority="3591" operator="containsText" text="Pesquisa de Preços">
      <formula>NOT(ISERROR(SEARCH("Pesquisa de Preços",D871)))</formula>
    </cfRule>
  </conditionalFormatting>
  <conditionalFormatting sqref="D847">
    <cfRule type="containsText" dxfId="1739" priority="3590" operator="containsText" text="Pesquisa de Preços">
      <formula>NOT(ISERROR(SEARCH("Pesquisa de Preços",D847)))</formula>
    </cfRule>
  </conditionalFormatting>
  <conditionalFormatting sqref="G2902">
    <cfRule type="notContainsText" dxfId="1738" priority="3582" operator="notContains" text="Sinapi">
      <formula>ISERROR(SEARCH("Sinapi",G2902))</formula>
    </cfRule>
  </conditionalFormatting>
  <conditionalFormatting sqref="G2907">
    <cfRule type="notContainsText" dxfId="1737" priority="3581" operator="notContains" text="Sinapi">
      <formula>ISERROR(SEARCH("Sinapi",G2907))</formula>
    </cfRule>
  </conditionalFormatting>
  <conditionalFormatting sqref="G2912">
    <cfRule type="notContainsText" dxfId="1736" priority="3580" operator="notContains" text="Sinapi">
      <formula>ISERROR(SEARCH("Sinapi",G2912))</formula>
    </cfRule>
  </conditionalFormatting>
  <conditionalFormatting sqref="G2917">
    <cfRule type="notContainsText" dxfId="1735" priority="3579" operator="notContains" text="Sinapi">
      <formula>ISERROR(SEARCH("Sinapi",G2917))</formula>
    </cfRule>
  </conditionalFormatting>
  <conditionalFormatting sqref="G2922">
    <cfRule type="notContainsText" dxfId="1734" priority="3578" operator="notContains" text="Sinapi">
      <formula>ISERROR(SEARCH("Sinapi",G2922))</formula>
    </cfRule>
  </conditionalFormatting>
  <conditionalFormatting sqref="G2927">
    <cfRule type="notContainsText" dxfId="1733" priority="3577" operator="notContains" text="Sinapi">
      <formula>ISERROR(SEARCH("Sinapi",G2927))</formula>
    </cfRule>
  </conditionalFormatting>
  <conditionalFormatting sqref="G2932">
    <cfRule type="notContainsText" dxfId="1732" priority="3576" operator="notContains" text="Sinapi">
      <formula>ISERROR(SEARCH("Sinapi",G2932))</formula>
    </cfRule>
  </conditionalFormatting>
  <conditionalFormatting sqref="G2937">
    <cfRule type="notContainsText" dxfId="1731" priority="3575" operator="notContains" text="Sinapi">
      <formula>ISERROR(SEARCH("Sinapi",G2937))</formula>
    </cfRule>
  </conditionalFormatting>
  <conditionalFormatting sqref="G2957">
    <cfRule type="notContainsText" dxfId="1730" priority="3573" operator="notContains" text="Sinapi">
      <formula>ISERROR(SEARCH("Sinapi",G2957))</formula>
    </cfRule>
  </conditionalFormatting>
  <conditionalFormatting sqref="G2952">
    <cfRule type="notContainsText" dxfId="1729" priority="3574" operator="notContains" text="Sinapi">
      <formula>ISERROR(SEARCH("Sinapi",G2952))</formula>
    </cfRule>
  </conditionalFormatting>
  <conditionalFormatting sqref="G2962">
    <cfRule type="notContainsText" dxfId="1728" priority="3572" operator="notContains" text="Sinapi">
      <formula>ISERROR(SEARCH("Sinapi",G2962))</formula>
    </cfRule>
  </conditionalFormatting>
  <conditionalFormatting sqref="G2967">
    <cfRule type="notContainsText" dxfId="1727" priority="3571" operator="notContains" text="Sinapi">
      <formula>ISERROR(SEARCH("Sinapi",G2967))</formula>
    </cfRule>
  </conditionalFormatting>
  <conditionalFormatting sqref="G2972">
    <cfRule type="notContainsText" dxfId="1726" priority="3570" operator="notContains" text="Sinapi">
      <formula>ISERROR(SEARCH("Sinapi",G2972))</formula>
    </cfRule>
  </conditionalFormatting>
  <conditionalFormatting sqref="G2977">
    <cfRule type="notContainsText" dxfId="1725" priority="3569" operator="notContains" text="Sinapi">
      <formula>ISERROR(SEARCH("Sinapi",G2977))</formula>
    </cfRule>
  </conditionalFormatting>
  <conditionalFormatting sqref="G2982">
    <cfRule type="notContainsText" dxfId="1724" priority="3568" operator="notContains" text="Sinapi">
      <formula>ISERROR(SEARCH("Sinapi",G2982))</formula>
    </cfRule>
  </conditionalFormatting>
  <conditionalFormatting sqref="G2987">
    <cfRule type="notContainsText" dxfId="1723" priority="3567" operator="notContains" text="Sinapi">
      <formula>ISERROR(SEARCH("Sinapi",G2987))</formula>
    </cfRule>
  </conditionalFormatting>
  <conditionalFormatting sqref="G2992">
    <cfRule type="notContainsText" dxfId="1722" priority="3566" operator="notContains" text="Sinapi">
      <formula>ISERROR(SEARCH("Sinapi",G2992))</formula>
    </cfRule>
  </conditionalFormatting>
  <conditionalFormatting sqref="G3005">
    <cfRule type="notContainsText" dxfId="1721" priority="3565" operator="notContains" text="Sinapi">
      <formula>ISERROR(SEARCH("Sinapi",G3005))</formula>
    </cfRule>
  </conditionalFormatting>
  <conditionalFormatting sqref="G3030">
    <cfRule type="notContainsText" dxfId="1720" priority="3564" operator="notContains" text="Sinapi">
      <formula>ISERROR(SEARCH("Sinapi",G3030))</formula>
    </cfRule>
  </conditionalFormatting>
  <conditionalFormatting sqref="G3043">
    <cfRule type="notContainsText" dxfId="1719" priority="3563" operator="notContains" text="Sinapi">
      <formula>ISERROR(SEARCH("Sinapi",G3043))</formula>
    </cfRule>
  </conditionalFormatting>
  <conditionalFormatting sqref="G3048">
    <cfRule type="notContainsText" dxfId="1718" priority="3562" operator="notContains" text="Sinapi">
      <formula>ISERROR(SEARCH("Sinapi",G3048))</formula>
    </cfRule>
  </conditionalFormatting>
  <conditionalFormatting sqref="G3053">
    <cfRule type="notContainsText" dxfId="1717" priority="3561" operator="notContains" text="Sinapi">
      <formula>ISERROR(SEARCH("Sinapi",G3053))</formula>
    </cfRule>
  </conditionalFormatting>
  <conditionalFormatting sqref="G3058">
    <cfRule type="notContainsText" dxfId="1716" priority="3560" operator="notContains" text="Sinapi">
      <formula>ISERROR(SEARCH("Sinapi",G3058))</formula>
    </cfRule>
  </conditionalFormatting>
  <conditionalFormatting sqref="G3063">
    <cfRule type="notContainsText" dxfId="1715" priority="3559" operator="notContains" text="Sinapi">
      <formula>ISERROR(SEARCH("Sinapi",G3063))</formula>
    </cfRule>
  </conditionalFormatting>
  <conditionalFormatting sqref="G3068">
    <cfRule type="notContainsText" dxfId="1714" priority="3558" operator="notContains" text="Sinapi">
      <formula>ISERROR(SEARCH("Sinapi",G3068))</formula>
    </cfRule>
  </conditionalFormatting>
  <conditionalFormatting sqref="G3073">
    <cfRule type="notContainsText" dxfId="1713" priority="3557" operator="notContains" text="Sinapi">
      <formula>ISERROR(SEARCH("Sinapi",G3073))</formula>
    </cfRule>
  </conditionalFormatting>
  <conditionalFormatting sqref="G3078">
    <cfRule type="notContainsText" dxfId="1712" priority="3556" operator="notContains" text="Sinapi">
      <formula>ISERROR(SEARCH("Sinapi",G3078))</formula>
    </cfRule>
  </conditionalFormatting>
  <conditionalFormatting sqref="G3083">
    <cfRule type="notContainsText" dxfId="1711" priority="3555" operator="notContains" text="Sinapi">
      <formula>ISERROR(SEARCH("Sinapi",G3083))</formula>
    </cfRule>
  </conditionalFormatting>
  <conditionalFormatting sqref="G3123">
    <cfRule type="notContainsText" dxfId="1710" priority="3554" operator="notContains" text="Sinapi">
      <formula>ISERROR(SEARCH("Sinapi",G3123))</formula>
    </cfRule>
  </conditionalFormatting>
  <conditionalFormatting sqref="G3303">
    <cfRule type="notContainsText" dxfId="1709" priority="3553" operator="notContains" text="Sinapi">
      <formula>ISERROR(SEARCH("Sinapi",G3303))</formula>
    </cfRule>
  </conditionalFormatting>
  <conditionalFormatting sqref="G3322">
    <cfRule type="notContainsText" dxfId="1708" priority="3552" operator="notContains" text="Sinapi">
      <formula>ISERROR(SEARCH("Sinapi",G3322))</formula>
    </cfRule>
  </conditionalFormatting>
  <conditionalFormatting sqref="G3333">
    <cfRule type="notContainsText" dxfId="1707" priority="3551" operator="notContains" text="Sinapi">
      <formula>ISERROR(SEARCH("Sinapi",G3333))</formula>
    </cfRule>
  </conditionalFormatting>
  <conditionalFormatting sqref="G3337">
    <cfRule type="notContainsText" dxfId="1706" priority="3550" operator="notContains" text="Sinapi">
      <formula>ISERROR(SEARCH("Sinapi",G3337))</formula>
    </cfRule>
  </conditionalFormatting>
  <conditionalFormatting sqref="D172:D173">
    <cfRule type="containsText" dxfId="1705" priority="3529" operator="containsText" text="Pesquisa de Preços">
      <formula>NOT(ISERROR(SEARCH("Pesquisa de Preços",D172)))</formula>
    </cfRule>
  </conditionalFormatting>
  <conditionalFormatting sqref="G3018">
    <cfRule type="notContainsText" dxfId="1704" priority="3528" operator="notContains" text="Sinapi">
      <formula>ISERROR(SEARCH("Sinapi",G3018))</formula>
    </cfRule>
  </conditionalFormatting>
  <conditionalFormatting sqref="E18 E3336 E262 E2410">
    <cfRule type="containsText" dxfId="1703" priority="3519" operator="containsText" text="Pesquisa de Preços">
      <formula>NOT(ISERROR(SEARCH("Pesquisa de Preços",E18)))</formula>
    </cfRule>
  </conditionalFormatting>
  <conditionalFormatting sqref="E9">
    <cfRule type="containsText" dxfId="1702" priority="3518" operator="containsText" text="Pesquisa de Preços">
      <formula>NOT(ISERROR(SEARCH("Pesquisa de Preços",E9)))</formula>
    </cfRule>
  </conditionalFormatting>
  <conditionalFormatting sqref="E7">
    <cfRule type="containsText" dxfId="1701" priority="3517" operator="containsText" text="Pesquisa de Preços">
      <formula>NOT(ISERROR(SEARCH("Pesquisa de Preços",E7)))</formula>
    </cfRule>
  </conditionalFormatting>
  <conditionalFormatting sqref="E6">
    <cfRule type="containsText" dxfId="1700" priority="3516" operator="containsText" text="Pesquisa de Preços">
      <formula>NOT(ISERROR(SEARCH("Pesquisa de Preços",E6)))</formula>
    </cfRule>
  </conditionalFormatting>
  <conditionalFormatting sqref="E8">
    <cfRule type="containsText" dxfId="1699" priority="3515" operator="containsText" text="Pesquisa de Preços">
      <formula>NOT(ISERROR(SEARCH("Pesquisa de Preços",E8)))</formula>
    </cfRule>
  </conditionalFormatting>
  <conditionalFormatting sqref="E15">
    <cfRule type="containsText" dxfId="1698" priority="3514" operator="containsText" text="Pesquisa de Preços">
      <formula>NOT(ISERROR(SEARCH("Pesquisa de Preços",E15)))</formula>
    </cfRule>
  </conditionalFormatting>
  <conditionalFormatting sqref="E14">
    <cfRule type="containsText" dxfId="1697" priority="3513" operator="containsText" text="Pesquisa de Preços">
      <formula>NOT(ISERROR(SEARCH("Pesquisa de Preços",E14)))</formula>
    </cfRule>
  </conditionalFormatting>
  <conditionalFormatting sqref="E16">
    <cfRule type="containsText" dxfId="1696" priority="3512" operator="containsText" text="Pesquisa de Preços">
      <formula>NOT(ISERROR(SEARCH("Pesquisa de Preços",E16)))</formula>
    </cfRule>
  </conditionalFormatting>
  <conditionalFormatting sqref="E12">
    <cfRule type="containsText" dxfId="1695" priority="3511" operator="containsText" text="Pesquisa de Preços">
      <formula>NOT(ISERROR(SEARCH("Pesquisa de Preços",E12)))</formula>
    </cfRule>
  </conditionalFormatting>
  <conditionalFormatting sqref="E10">
    <cfRule type="containsText" dxfId="1694" priority="3508" operator="containsText" text="Pesquisa de Preços">
      <formula>NOT(ISERROR(SEARCH("Pesquisa de Preços",E10)))</formula>
    </cfRule>
  </conditionalFormatting>
  <conditionalFormatting sqref="E13">
    <cfRule type="containsText" dxfId="1693" priority="3510" operator="containsText" text="Pesquisa de Preços">
      <formula>NOT(ISERROR(SEARCH("Pesquisa de Preços",E13)))</formula>
    </cfRule>
  </conditionalFormatting>
  <conditionalFormatting sqref="E11">
    <cfRule type="containsText" dxfId="1692" priority="3509" operator="containsText" text="Pesquisa de Preços">
      <formula>NOT(ISERROR(SEARCH("Pesquisa de Preços",E11)))</formula>
    </cfRule>
  </conditionalFormatting>
  <conditionalFormatting sqref="E225">
    <cfRule type="containsText" dxfId="1691" priority="3506" operator="containsText" text="Pesquisa de Preços">
      <formula>NOT(ISERROR(SEARCH("Pesquisa de Preços",E225)))</formula>
    </cfRule>
  </conditionalFormatting>
  <conditionalFormatting sqref="E227">
    <cfRule type="containsText" dxfId="1690" priority="3507" operator="containsText" text="Pesquisa de Preços">
      <formula>NOT(ISERROR(SEARCH("Pesquisa de Preços",E227)))</formula>
    </cfRule>
  </conditionalFormatting>
  <conditionalFormatting sqref="E224">
    <cfRule type="containsText" dxfId="1689" priority="3505" operator="containsText" text="Pesquisa de Preços">
      <formula>NOT(ISERROR(SEARCH("Pesquisa de Preços",E224)))</formula>
    </cfRule>
  </conditionalFormatting>
  <conditionalFormatting sqref="E514">
    <cfRule type="containsText" dxfId="1688" priority="3351" operator="containsText" text="Pesquisa de Preços">
      <formula>NOT(ISERROR(SEARCH("Pesquisa de Preços",E514)))</formula>
    </cfRule>
  </conditionalFormatting>
  <conditionalFormatting sqref="E150">
    <cfRule type="containsText" dxfId="1687" priority="3500" operator="containsText" text="Pesquisa de Preços">
      <formula>NOT(ISERROR(SEARCH("Pesquisa de Preços",E150)))</formula>
    </cfRule>
  </conditionalFormatting>
  <conditionalFormatting sqref="E490:E496">
    <cfRule type="containsText" dxfId="1686" priority="3347" operator="containsText" text="Pesquisa de Preços">
      <formula>NOT(ISERROR(SEARCH("Pesquisa de Preços",E490)))</formula>
    </cfRule>
  </conditionalFormatting>
  <conditionalFormatting sqref="E149">
    <cfRule type="containsText" dxfId="1685" priority="3499" operator="containsText" text="Pesquisa de Preços">
      <formula>NOT(ISERROR(SEARCH("Pesquisa de Preços",E149)))</formula>
    </cfRule>
  </conditionalFormatting>
  <conditionalFormatting sqref="E78">
    <cfRule type="containsText" dxfId="1684" priority="3502" operator="containsText" text="Pesquisa de Preços">
      <formula>NOT(ISERROR(SEARCH("Pesquisa de Preços",E78)))</formula>
    </cfRule>
  </conditionalFormatting>
  <conditionalFormatting sqref="E162">
    <cfRule type="containsText" dxfId="1683" priority="3498" operator="containsText" text="Pesquisa de Preços">
      <formula>NOT(ISERROR(SEARCH("Pesquisa de Preços",E162)))</formula>
    </cfRule>
  </conditionalFormatting>
  <conditionalFormatting sqref="E79">
    <cfRule type="containsText" dxfId="1682" priority="3504" operator="containsText" text="Pesquisa de Preços">
      <formula>NOT(ISERROR(SEARCH("Pesquisa de Preços",E79)))</formula>
    </cfRule>
  </conditionalFormatting>
  <conditionalFormatting sqref="E77">
    <cfRule type="containsText" dxfId="1681" priority="3501" operator="containsText" text="Pesquisa de Preços">
      <formula>NOT(ISERROR(SEARCH("Pesquisa de Preços",E77)))</formula>
    </cfRule>
  </conditionalFormatting>
  <conditionalFormatting sqref="E81">
    <cfRule type="containsText" dxfId="1680" priority="3503" operator="containsText" text="Pesquisa de Preços">
      <formula>NOT(ISERROR(SEARCH("Pesquisa de Preços",E81)))</formula>
    </cfRule>
  </conditionalFormatting>
  <conditionalFormatting sqref="E545">
    <cfRule type="containsText" dxfId="1679" priority="3339" operator="containsText" text="Pesquisa de Preços">
      <formula>NOT(ISERROR(SEARCH("Pesquisa de Preços",E545)))</formula>
    </cfRule>
  </conditionalFormatting>
  <conditionalFormatting sqref="E87">
    <cfRule type="containsText" dxfId="1678" priority="3495" operator="containsText" text="Pesquisa de Preços">
      <formula>NOT(ISERROR(SEARCH("Pesquisa de Preços",E87)))</formula>
    </cfRule>
  </conditionalFormatting>
  <conditionalFormatting sqref="E161">
    <cfRule type="containsText" dxfId="1677" priority="3497" operator="containsText" text="Pesquisa de Preços">
      <formula>NOT(ISERROR(SEARCH("Pesquisa de Preços",E161)))</formula>
    </cfRule>
  </conditionalFormatting>
  <conditionalFormatting sqref="E553">
    <cfRule type="containsText" dxfId="1676" priority="3336" operator="containsText" text="Pesquisa de Preços">
      <formula>NOT(ISERROR(SEARCH("Pesquisa de Preços",E553)))</formula>
    </cfRule>
  </conditionalFormatting>
  <conditionalFormatting sqref="E88">
    <cfRule type="containsText" dxfId="1675" priority="3496" operator="containsText" text="Pesquisa de Preços">
      <formula>NOT(ISERROR(SEARCH("Pesquisa de Preços",E88)))</formula>
    </cfRule>
  </conditionalFormatting>
  <conditionalFormatting sqref="E60">
    <cfRule type="containsText" dxfId="1674" priority="3494" operator="containsText" text="Pesquisa de Preços">
      <formula>NOT(ISERROR(SEARCH("Pesquisa de Preços",E60)))</formula>
    </cfRule>
  </conditionalFormatting>
  <conditionalFormatting sqref="E569">
    <cfRule type="containsText" dxfId="1673" priority="3327" operator="containsText" text="Pesquisa de Preços">
      <formula>NOT(ISERROR(SEARCH("Pesquisa de Preços",E569)))</formula>
    </cfRule>
  </conditionalFormatting>
  <conditionalFormatting sqref="E59">
    <cfRule type="containsText" dxfId="1672" priority="3493" operator="containsText" text="Pesquisa de Preços">
      <formula>NOT(ISERROR(SEARCH("Pesquisa de Preços",E59)))</formula>
    </cfRule>
  </conditionalFormatting>
  <conditionalFormatting sqref="E53">
    <cfRule type="containsText" dxfId="1671" priority="3492" operator="containsText" text="Pesquisa de Preços">
      <formula>NOT(ISERROR(SEARCH("Pesquisa de Preços",E53)))</formula>
    </cfRule>
  </conditionalFormatting>
  <conditionalFormatting sqref="E33">
    <cfRule type="containsText" dxfId="1670" priority="3489" operator="containsText" text="Pesquisa de Preços">
      <formula>NOT(ISERROR(SEARCH("Pesquisa de Preços",E33)))</formula>
    </cfRule>
  </conditionalFormatting>
  <conditionalFormatting sqref="E52">
    <cfRule type="containsText" dxfId="1669" priority="3491" operator="containsText" text="Pesquisa de Preços">
      <formula>NOT(ISERROR(SEARCH("Pesquisa de Preços",E52)))</formula>
    </cfRule>
  </conditionalFormatting>
  <conditionalFormatting sqref="E579">
    <cfRule type="containsText" dxfId="1668" priority="3325" operator="containsText" text="Pesquisa de Preços">
      <formula>NOT(ISERROR(SEARCH("Pesquisa de Preços",E579)))</formula>
    </cfRule>
  </conditionalFormatting>
  <conditionalFormatting sqref="E34:E35">
    <cfRule type="containsText" dxfId="1667" priority="3490" operator="containsText" text="Pesquisa de Preços">
      <formula>NOT(ISERROR(SEARCH("Pesquisa de Preços",E34)))</formula>
    </cfRule>
  </conditionalFormatting>
  <conditionalFormatting sqref="E98:E99">
    <cfRule type="containsText" dxfId="1666" priority="3486" operator="containsText" text="Pesquisa de Preços">
      <formula>NOT(ISERROR(SEARCH("Pesquisa de Preços",E98)))</formula>
    </cfRule>
  </conditionalFormatting>
  <conditionalFormatting sqref="E29">
    <cfRule type="containsText" dxfId="1665" priority="3488" operator="containsText" text="Pesquisa de Preços">
      <formula>NOT(ISERROR(SEARCH("Pesquisa de Preços",E29)))</formula>
    </cfRule>
  </conditionalFormatting>
  <conditionalFormatting sqref="E28">
    <cfRule type="containsText" dxfId="1664" priority="3487" operator="containsText" text="Pesquisa de Preços">
      <formula>NOT(ISERROR(SEARCH("Pesquisa de Preços",E28)))</formula>
    </cfRule>
  </conditionalFormatting>
  <conditionalFormatting sqref="E145:E146">
    <cfRule type="containsText" dxfId="1663" priority="3483" operator="containsText" text="Pesquisa de Preços">
      <formula>NOT(ISERROR(SEARCH("Pesquisa de Preços",E145)))</formula>
    </cfRule>
  </conditionalFormatting>
  <conditionalFormatting sqref="E42">
    <cfRule type="containsText" dxfId="1662" priority="3479" operator="containsText" text="Pesquisa de Preços">
      <formula>NOT(ISERROR(SEARCH("Pesquisa de Preços",E42)))</formula>
    </cfRule>
  </conditionalFormatting>
  <conditionalFormatting sqref="E97">
    <cfRule type="containsText" dxfId="1661" priority="3485" operator="containsText" text="Pesquisa de Preços">
      <formula>NOT(ISERROR(SEARCH("Pesquisa de Preços",E97)))</formula>
    </cfRule>
  </conditionalFormatting>
  <conditionalFormatting sqref="E100">
    <cfRule type="containsText" dxfId="1660" priority="3484" operator="containsText" text="Pesquisa de Preços">
      <formula>NOT(ISERROR(SEARCH("Pesquisa de Preços",E100)))</formula>
    </cfRule>
  </conditionalFormatting>
  <conditionalFormatting sqref="E180">
    <cfRule type="containsText" dxfId="1659" priority="3474" operator="containsText" text="Pesquisa de Preços">
      <formula>NOT(ISERROR(SEARCH("Pesquisa de Preços",E180)))</formula>
    </cfRule>
  </conditionalFormatting>
  <conditionalFormatting sqref="E144">
    <cfRule type="containsText" dxfId="1658" priority="3482" operator="containsText" text="Pesquisa de Preços">
      <formula>NOT(ISERROR(SEARCH("Pesquisa de Preços",E144)))</formula>
    </cfRule>
  </conditionalFormatting>
  <conditionalFormatting sqref="E24">
    <cfRule type="containsText" dxfId="1657" priority="3478" operator="containsText" text="Pesquisa de Preços">
      <formula>NOT(ISERROR(SEARCH("Pesquisa de Preços",E24)))</formula>
    </cfRule>
  </conditionalFormatting>
  <conditionalFormatting sqref="E147">
    <cfRule type="containsText" dxfId="1656" priority="3481" operator="containsText" text="Pesquisa de Preços">
      <formula>NOT(ISERROR(SEARCH("Pesquisa de Preços",E147)))</formula>
    </cfRule>
  </conditionalFormatting>
  <conditionalFormatting sqref="E43">
    <cfRule type="containsText" dxfId="1655" priority="3480" operator="containsText" text="Pesquisa de Preços">
      <formula>NOT(ISERROR(SEARCH("Pesquisa de Preços",E43)))</formula>
    </cfRule>
  </conditionalFormatting>
  <conditionalFormatting sqref="E23">
    <cfRule type="containsText" dxfId="1654" priority="3477" operator="containsText" text="Pesquisa de Preços">
      <formula>NOT(ISERROR(SEARCH("Pesquisa de Preços",E23)))</formula>
    </cfRule>
  </conditionalFormatting>
  <conditionalFormatting sqref="E117">
    <cfRule type="containsText" dxfId="1653" priority="3472" operator="containsText" text="Pesquisa de Preços">
      <formula>NOT(ISERROR(SEARCH("Pesquisa de Preços",E117)))</formula>
    </cfRule>
  </conditionalFormatting>
  <conditionalFormatting sqref="E179">
    <cfRule type="containsText" dxfId="1652" priority="3473" operator="containsText" text="Pesquisa de Preços">
      <formula>NOT(ISERROR(SEARCH("Pesquisa de Preços",E179)))</formula>
    </cfRule>
  </conditionalFormatting>
  <conditionalFormatting sqref="E38:E40">
    <cfRule type="containsText" dxfId="1651" priority="3476" operator="containsText" text="Pesquisa de Preços">
      <formula>NOT(ISERROR(SEARCH("Pesquisa de Preços",E38)))</formula>
    </cfRule>
  </conditionalFormatting>
  <conditionalFormatting sqref="E37">
    <cfRule type="containsText" dxfId="1650" priority="3475" operator="containsText" text="Pesquisa de Preços">
      <formula>NOT(ISERROR(SEARCH("Pesquisa de Preços",E37)))</formula>
    </cfRule>
  </conditionalFormatting>
  <conditionalFormatting sqref="E116">
    <cfRule type="containsText" dxfId="1649" priority="3471" operator="containsText" text="Pesquisa de Preços">
      <formula>NOT(ISERROR(SEARCH("Pesquisa de Preços",E116)))</formula>
    </cfRule>
  </conditionalFormatting>
  <conditionalFormatting sqref="E677">
    <cfRule type="containsText" dxfId="1648" priority="3321" operator="containsText" text="Pesquisa de Preços">
      <formula>NOT(ISERROR(SEARCH("Pesquisa de Preços",E677)))</formula>
    </cfRule>
  </conditionalFormatting>
  <conditionalFormatting sqref="E669">
    <cfRule type="containsText" dxfId="1647" priority="3319" operator="containsText" text="Pesquisa de Preços">
      <formula>NOT(ISERROR(SEARCH("Pesquisa de Preços",E669)))</formula>
    </cfRule>
  </conditionalFormatting>
  <conditionalFormatting sqref="E175">
    <cfRule type="containsText" dxfId="1646" priority="3469" operator="containsText" text="Pesquisa de Preços">
      <formula>NOT(ISERROR(SEARCH("Pesquisa de Preços",E175)))</formula>
    </cfRule>
  </conditionalFormatting>
  <conditionalFormatting sqref="E176:E177">
    <cfRule type="containsText" dxfId="1645" priority="3470" operator="containsText" text="Pesquisa de Preços">
      <formula>NOT(ISERROR(SEARCH("Pesquisa de Preços",E176)))</formula>
    </cfRule>
  </conditionalFormatting>
  <conditionalFormatting sqref="E219">
    <cfRule type="containsText" dxfId="1644" priority="3467" operator="containsText" text="Pesquisa de Preços">
      <formula>NOT(ISERROR(SEARCH("Pesquisa de Preços",E219)))</formula>
    </cfRule>
  </conditionalFormatting>
  <conditionalFormatting sqref="E220:E221">
    <cfRule type="containsText" dxfId="1643" priority="3468" operator="containsText" text="Pesquisa de Preços">
      <formula>NOT(ISERROR(SEARCH("Pesquisa de Preços",E220)))</formula>
    </cfRule>
  </conditionalFormatting>
  <conditionalFormatting sqref="E126">
    <cfRule type="containsText" dxfId="1642" priority="3464" operator="containsText" text="Pesquisa de Preços">
      <formula>NOT(ISERROR(SEARCH("Pesquisa de Preços",E126)))</formula>
    </cfRule>
  </conditionalFormatting>
  <conditionalFormatting sqref="E687:E688 E694:E695">
    <cfRule type="containsText" dxfId="1641" priority="3317" operator="containsText" text="Pesquisa de Preços">
      <formula>NOT(ISERROR(SEARCH("Pesquisa de Preços",E687)))</formula>
    </cfRule>
  </conditionalFormatting>
  <conditionalFormatting sqref="E222">
    <cfRule type="containsText" dxfId="1640" priority="3466" operator="containsText" text="Pesquisa de Preços">
      <formula>NOT(ISERROR(SEARCH("Pesquisa de Preços",E222)))</formula>
    </cfRule>
  </conditionalFormatting>
  <conditionalFormatting sqref="E127">
    <cfRule type="containsText" dxfId="1639" priority="3465" operator="containsText" text="Pesquisa de Preços">
      <formula>NOT(ISERROR(SEARCH("Pesquisa de Preços",E127)))</formula>
    </cfRule>
  </conditionalFormatting>
  <conditionalFormatting sqref="E715">
    <cfRule type="containsText" dxfId="1638" priority="3314" operator="containsText" text="Pesquisa de Preços">
      <formula>NOT(ISERROR(SEARCH("Pesquisa de Preços",E715)))</formula>
    </cfRule>
  </conditionalFormatting>
  <conditionalFormatting sqref="E167:E168">
    <cfRule type="containsText" dxfId="1637" priority="3463" operator="containsText" text="Pesquisa de Preços">
      <formula>NOT(ISERROR(SEARCH("Pesquisa de Preços",E167)))</formula>
    </cfRule>
  </conditionalFormatting>
  <conditionalFormatting sqref="E166">
    <cfRule type="containsText" dxfId="1636" priority="3462" operator="containsText" text="Pesquisa de Preços">
      <formula>NOT(ISERROR(SEARCH("Pesquisa de Preços",E166)))</formula>
    </cfRule>
  </conditionalFormatting>
  <conditionalFormatting sqref="E731">
    <cfRule type="containsText" dxfId="1635" priority="3312" operator="containsText" text="Pesquisa de Preços">
      <formula>NOT(ISERROR(SEARCH("Pesquisa de Preços",E731)))</formula>
    </cfRule>
  </conditionalFormatting>
  <conditionalFormatting sqref="E169">
    <cfRule type="containsText" dxfId="1634" priority="3461" operator="containsText" text="Pesquisa de Preços">
      <formula>NOT(ISERROR(SEARCH("Pesquisa de Preços",E169)))</formula>
    </cfRule>
  </conditionalFormatting>
  <conditionalFormatting sqref="E83">
    <cfRule type="containsText" dxfId="1633" priority="3460" operator="containsText" text="Pesquisa de Preços">
      <formula>NOT(ISERROR(SEARCH("Pesquisa de Preços",E83)))</formula>
    </cfRule>
  </conditionalFormatting>
  <conditionalFormatting sqref="E82">
    <cfRule type="containsText" dxfId="1632" priority="3459" operator="containsText" text="Pesquisa de Preços">
      <formula>NOT(ISERROR(SEARCH("Pesquisa de Preços",E82)))</formula>
    </cfRule>
  </conditionalFormatting>
  <conditionalFormatting sqref="E112">
    <cfRule type="containsText" dxfId="1631" priority="3458" operator="containsText" text="Pesquisa de Preços">
      <formula>NOT(ISERROR(SEARCH("Pesquisa de Preços",E112)))</formula>
    </cfRule>
  </conditionalFormatting>
  <conditionalFormatting sqref="E211:E212">
    <cfRule type="containsText" dxfId="1630" priority="3456" operator="containsText" text="Pesquisa de Preços">
      <formula>NOT(ISERROR(SEARCH("Pesquisa de Preços",E211)))</formula>
    </cfRule>
  </conditionalFormatting>
  <conditionalFormatting sqref="E111">
    <cfRule type="containsText" dxfId="1629" priority="3457" operator="containsText" text="Pesquisa de Preços">
      <formula>NOT(ISERROR(SEARCH("Pesquisa de Preços",E111)))</formula>
    </cfRule>
  </conditionalFormatting>
  <conditionalFormatting sqref="E201">
    <cfRule type="containsText" dxfId="1628" priority="3453" operator="containsText" text="Pesquisa de Preços">
      <formula>NOT(ISERROR(SEARCH("Pesquisa de Preços",E201)))</formula>
    </cfRule>
  </conditionalFormatting>
  <conditionalFormatting sqref="E210">
    <cfRule type="containsText" dxfId="1627" priority="3455" operator="containsText" text="Pesquisa de Preços">
      <formula>NOT(ISERROR(SEARCH("Pesquisa de Preços",E210)))</formula>
    </cfRule>
  </conditionalFormatting>
  <conditionalFormatting sqref="E202">
    <cfRule type="containsText" dxfId="1626" priority="3454" operator="containsText" text="Pesquisa de Preços">
      <formula>NOT(ISERROR(SEARCH("Pesquisa de Preços",E202)))</formula>
    </cfRule>
  </conditionalFormatting>
  <conditionalFormatting sqref="E198:E199">
    <cfRule type="containsText" dxfId="1625" priority="3451" operator="containsText" text="Pesquisa de Preços">
      <formula>NOT(ISERROR(SEARCH("Pesquisa de Preços",E198)))</formula>
    </cfRule>
  </conditionalFormatting>
  <conditionalFormatting sqref="E203:E204">
    <cfRule type="containsText" dxfId="1624" priority="3452" operator="containsText" text="Pesquisa de Preços">
      <formula>NOT(ISERROR(SEARCH("Pesquisa de Preços",E203)))</formula>
    </cfRule>
  </conditionalFormatting>
  <conditionalFormatting sqref="E197">
    <cfRule type="containsText" dxfId="1623" priority="3450" operator="containsText" text="Pesquisa de Preços">
      <formula>NOT(ISERROR(SEARCH("Pesquisa de Preços",E197)))</formula>
    </cfRule>
  </conditionalFormatting>
  <conditionalFormatting sqref="E70:E71 E75:E76">
    <cfRule type="containsText" dxfId="1622" priority="3449" operator="containsText" text="Pesquisa de Preços">
      <formula>NOT(ISERROR(SEARCH("Pesquisa de Preços",E70)))</formula>
    </cfRule>
  </conditionalFormatting>
  <conditionalFormatting sqref="E69">
    <cfRule type="containsText" dxfId="1621" priority="3448" operator="containsText" text="Pesquisa de Preços">
      <formula>NOT(ISERROR(SEARCH("Pesquisa de Preços",E69)))</formula>
    </cfRule>
  </conditionalFormatting>
  <conditionalFormatting sqref="E72:E74">
    <cfRule type="containsText" dxfId="1620" priority="3447" operator="containsText" text="Pesquisa de Preços">
      <formula>NOT(ISERROR(SEARCH("Pesquisa de Preços",E72)))</formula>
    </cfRule>
  </conditionalFormatting>
  <conditionalFormatting sqref="E136:E137">
    <cfRule type="containsText" dxfId="1619" priority="3446" operator="containsText" text="Pesquisa de Preços">
      <formula>NOT(ISERROR(SEARCH("Pesquisa de Preços",E136)))</formula>
    </cfRule>
  </conditionalFormatting>
  <conditionalFormatting sqref="E135">
    <cfRule type="containsText" dxfId="1618" priority="3445" operator="containsText" text="Pesquisa de Preços">
      <formula>NOT(ISERROR(SEARCH("Pesquisa de Preços",E135)))</formula>
    </cfRule>
  </conditionalFormatting>
  <conditionalFormatting sqref="E140:E141">
    <cfRule type="containsText" dxfId="1617" priority="3444" operator="containsText" text="Pesquisa de Preços">
      <formula>NOT(ISERROR(SEARCH("Pesquisa de Preços",E140)))</formula>
    </cfRule>
  </conditionalFormatting>
  <conditionalFormatting sqref="E139">
    <cfRule type="containsText" dxfId="1616" priority="3443" operator="containsText" text="Pesquisa de Preços">
      <formula>NOT(ISERROR(SEARCH("Pesquisa de Preços",E139)))</formula>
    </cfRule>
  </conditionalFormatting>
  <conditionalFormatting sqref="E791 E793:E802">
    <cfRule type="containsText" dxfId="1615" priority="3306" operator="containsText" text="Pesquisa de Preços">
      <formula>NOT(ISERROR(SEARCH("Pesquisa de Preços",E791)))</formula>
    </cfRule>
  </conditionalFormatting>
  <conditionalFormatting sqref="E155:E157">
    <cfRule type="containsText" dxfId="1614" priority="3442" operator="containsText" text="Pesquisa de Preços">
      <formula>NOT(ISERROR(SEARCH("Pesquisa de Preços",E155)))</formula>
    </cfRule>
  </conditionalFormatting>
  <conditionalFormatting sqref="E154">
    <cfRule type="containsText" dxfId="1613" priority="3441" operator="containsText" text="Pesquisa de Preços">
      <formula>NOT(ISERROR(SEARCH("Pesquisa de Preços",E154)))</formula>
    </cfRule>
  </conditionalFormatting>
  <conditionalFormatting sqref="E833">
    <cfRule type="containsText" dxfId="1612" priority="3304" operator="containsText" text="Pesquisa de Preços">
      <formula>NOT(ISERROR(SEARCH("Pesquisa de Preços",E833)))</formula>
    </cfRule>
  </conditionalFormatting>
  <conditionalFormatting sqref="E93">
    <cfRule type="containsText" dxfId="1611" priority="3440" operator="containsText" text="Pesquisa de Preços">
      <formula>NOT(ISERROR(SEARCH("Pesquisa de Preços",E93)))</formula>
    </cfRule>
  </conditionalFormatting>
  <conditionalFormatting sqref="E92">
    <cfRule type="containsText" dxfId="1610" priority="3439" operator="containsText" text="Pesquisa de Preços">
      <formula>NOT(ISERROR(SEARCH("Pesquisa de Preços",E92)))</formula>
    </cfRule>
  </conditionalFormatting>
  <conditionalFormatting sqref="E815:E816">
    <cfRule type="containsText" dxfId="1609" priority="3302" operator="containsText" text="Pesquisa de Preços">
      <formula>NOT(ISERROR(SEARCH("Pesquisa de Preços",E815)))</formula>
    </cfRule>
  </conditionalFormatting>
  <conditionalFormatting sqref="E48:E49">
    <cfRule type="containsText" dxfId="1608" priority="3438" operator="containsText" text="Pesquisa de Preços">
      <formula>NOT(ISERROR(SEARCH("Pesquisa de Preços",E48)))</formula>
    </cfRule>
  </conditionalFormatting>
  <conditionalFormatting sqref="E47">
    <cfRule type="containsText" dxfId="1607" priority="3437" operator="containsText" text="Pesquisa de Preços">
      <formula>NOT(ISERROR(SEARCH("Pesquisa de Preços",E47)))</formula>
    </cfRule>
  </conditionalFormatting>
  <conditionalFormatting sqref="E50">
    <cfRule type="containsText" dxfId="1606" priority="3436" operator="containsText" text="Pesquisa de Preços">
      <formula>NOT(ISERROR(SEARCH("Pesquisa de Preços",E50)))</formula>
    </cfRule>
  </conditionalFormatting>
  <conditionalFormatting sqref="E191:E192">
    <cfRule type="containsText" dxfId="1605" priority="3435" operator="containsText" text="Pesquisa de Preços">
      <formula>NOT(ISERROR(SEARCH("Pesquisa de Preços",E191)))</formula>
    </cfRule>
  </conditionalFormatting>
  <conditionalFormatting sqref="E190">
    <cfRule type="containsText" dxfId="1604" priority="3434" operator="containsText" text="Pesquisa de Preços">
      <formula>NOT(ISERROR(SEARCH("Pesquisa de Preços",E190)))</formula>
    </cfRule>
  </conditionalFormatting>
  <conditionalFormatting sqref="E749:E750 E753:E754">
    <cfRule type="containsText" dxfId="1603" priority="3300" operator="containsText" text="Pesquisa de Preços">
      <formula>NOT(ISERROR(SEARCH("Pesquisa de Preços",E749)))</formula>
    </cfRule>
  </conditionalFormatting>
  <conditionalFormatting sqref="E193">
    <cfRule type="containsText" dxfId="1602" priority="3433" operator="containsText" text="Pesquisa de Preços">
      <formula>NOT(ISERROR(SEARCH("Pesquisa de Preços",E193)))</formula>
    </cfRule>
  </conditionalFormatting>
  <conditionalFormatting sqref="E215:E216">
    <cfRule type="containsText" dxfId="1601" priority="3432" operator="containsText" text="Pesquisa de Preços">
      <formula>NOT(ISERROR(SEARCH("Pesquisa de Preços",E215)))</formula>
    </cfRule>
  </conditionalFormatting>
  <conditionalFormatting sqref="E214">
    <cfRule type="containsText" dxfId="1600" priority="3431" operator="containsText" text="Pesquisa de Preços">
      <formula>NOT(ISERROR(SEARCH("Pesquisa de Preços",E214)))</formula>
    </cfRule>
  </conditionalFormatting>
  <conditionalFormatting sqref="E217">
    <cfRule type="containsText" dxfId="1599" priority="3430" operator="containsText" text="Pesquisa de Preços">
      <formula>NOT(ISERROR(SEARCH("Pesquisa de Preços",E217)))</formula>
    </cfRule>
  </conditionalFormatting>
  <conditionalFormatting sqref="E122:E123">
    <cfRule type="containsText" dxfId="1598" priority="3429" operator="containsText" text="Pesquisa de Preços">
      <formula>NOT(ISERROR(SEARCH("Pesquisa de Preços",E122)))</formula>
    </cfRule>
  </conditionalFormatting>
  <conditionalFormatting sqref="E121">
    <cfRule type="containsText" dxfId="1597" priority="3428" operator="containsText" text="Pesquisa de Preços">
      <formula>NOT(ISERROR(SEARCH("Pesquisa de Preços",E121)))</formula>
    </cfRule>
  </conditionalFormatting>
  <conditionalFormatting sqref="E756:E757">
    <cfRule type="containsText" dxfId="1596" priority="3297" operator="containsText" text="Pesquisa de Preços">
      <formula>NOT(ISERROR(SEARCH("Pesquisa de Preços",E756)))</formula>
    </cfRule>
  </conditionalFormatting>
  <conditionalFormatting sqref="E124">
    <cfRule type="containsText" dxfId="1595" priority="3427" operator="containsText" text="Pesquisa de Preços">
      <formula>NOT(ISERROR(SEARCH("Pesquisa de Preços",E124)))</formula>
    </cfRule>
  </conditionalFormatting>
  <conditionalFormatting sqref="E107:E108">
    <cfRule type="containsText" dxfId="1594" priority="3426" operator="containsText" text="Pesquisa de Preços">
      <formula>NOT(ISERROR(SEARCH("Pesquisa de Preços",E107)))</formula>
    </cfRule>
  </conditionalFormatting>
  <conditionalFormatting sqref="E106">
    <cfRule type="containsText" dxfId="1593" priority="3425" operator="containsText" text="Pesquisa de Preços">
      <formula>NOT(ISERROR(SEARCH("Pesquisa de Preços",E106)))</formula>
    </cfRule>
  </conditionalFormatting>
  <conditionalFormatting sqref="E824 E826">
    <cfRule type="containsText" dxfId="1592" priority="3294" operator="containsText" text="Pesquisa de Preços">
      <formula>NOT(ISERROR(SEARCH("Pesquisa de Preços",E824)))</formula>
    </cfRule>
  </conditionalFormatting>
  <conditionalFormatting sqref="E109">
    <cfRule type="containsText" dxfId="1591" priority="3424" operator="containsText" text="Pesquisa de Preços">
      <formula>NOT(ISERROR(SEARCH("Pesquisa de Preços",E109)))</formula>
    </cfRule>
  </conditionalFormatting>
  <conditionalFormatting sqref="E132">
    <cfRule type="containsText" dxfId="1590" priority="3423" operator="containsText" text="Pesquisa de Preços">
      <formula>NOT(ISERROR(SEARCH("Pesquisa de Preços",E132)))</formula>
    </cfRule>
  </conditionalFormatting>
  <conditionalFormatting sqref="E131">
    <cfRule type="containsText" dxfId="1589" priority="3422" operator="containsText" text="Pesquisa de Preços">
      <formula>NOT(ISERROR(SEARCH("Pesquisa de Preços",E131)))</formula>
    </cfRule>
  </conditionalFormatting>
  <conditionalFormatting sqref="E828">
    <cfRule type="containsText" dxfId="1588" priority="3292" operator="containsText" text="Pesquisa de Preços">
      <formula>NOT(ISERROR(SEARCH("Pesquisa de Preços",E828)))</formula>
    </cfRule>
  </conditionalFormatting>
  <conditionalFormatting sqref="E65:E66">
    <cfRule type="containsText" dxfId="1587" priority="3421" operator="containsText" text="Pesquisa de Preços">
      <formula>NOT(ISERROR(SEARCH("Pesquisa de Preços",E65)))</formula>
    </cfRule>
  </conditionalFormatting>
  <conditionalFormatting sqref="E64">
    <cfRule type="containsText" dxfId="1586" priority="3420" operator="containsText" text="Pesquisa de Preços">
      <formula>NOT(ISERROR(SEARCH("Pesquisa de Preços",E64)))</formula>
    </cfRule>
  </conditionalFormatting>
  <conditionalFormatting sqref="E805">
    <cfRule type="containsText" dxfId="1585" priority="3290" operator="containsText" text="Pesquisa de Preços">
      <formula>NOT(ISERROR(SEARCH("Pesquisa de Preços",E805)))</formula>
    </cfRule>
  </conditionalFormatting>
  <conditionalFormatting sqref="E67">
    <cfRule type="containsText" dxfId="1584" priority="3419" operator="containsText" text="Pesquisa de Preços">
      <formula>NOT(ISERROR(SEARCH("Pesquisa de Preços",E67)))</formula>
    </cfRule>
  </conditionalFormatting>
  <conditionalFormatting sqref="E283">
    <cfRule type="containsText" dxfId="1583" priority="3408" operator="containsText" text="Pesquisa de Preços">
      <formula>NOT(ISERROR(SEARCH("Pesquisa de Preços",E283)))</formula>
    </cfRule>
  </conditionalFormatting>
  <conditionalFormatting sqref="E268">
    <cfRule type="containsText" dxfId="1582" priority="3405" operator="containsText" text="Pesquisa de Preços">
      <formula>NOT(ISERROR(SEARCH("Pesquisa de Preços",E268)))</formula>
    </cfRule>
  </conditionalFormatting>
  <conditionalFormatting sqref="E321">
    <cfRule type="containsText" dxfId="1581" priority="3403" operator="containsText" text="Pesquisa de Preços">
      <formula>NOT(ISERROR(SEARCH("Pesquisa de Preços",E321)))</formula>
    </cfRule>
  </conditionalFormatting>
  <conditionalFormatting sqref="E305">
    <cfRule type="containsText" dxfId="1580" priority="3400" operator="containsText" text="Pesquisa de Preços">
      <formula>NOT(ISERROR(SEARCH("Pesquisa de Preços",E305)))</formula>
    </cfRule>
  </conditionalFormatting>
  <conditionalFormatting sqref="E342:E343">
    <cfRule type="containsText" dxfId="1579" priority="3398" operator="containsText" text="Pesquisa de Preços">
      <formula>NOT(ISERROR(SEARCH("Pesquisa de Preços",E342)))</formula>
    </cfRule>
  </conditionalFormatting>
  <conditionalFormatting sqref="E290">
    <cfRule type="containsText" dxfId="1578" priority="3392" operator="containsText" text="Pesquisa de Preços">
      <formula>NOT(ISERROR(SEARCH("Pesquisa de Preços",E290)))</formula>
    </cfRule>
  </conditionalFormatting>
  <conditionalFormatting sqref="E327:E328">
    <cfRule type="containsText" dxfId="1577" priority="3390" operator="containsText" text="Pesquisa de Preços">
      <formula>NOT(ISERROR(SEARCH("Pesquisa de Preços",E327)))</formula>
    </cfRule>
  </conditionalFormatting>
  <conditionalFormatting sqref="E401">
    <cfRule type="containsText" dxfId="1576" priority="3380" operator="containsText" text="Pesquisa de Preços">
      <formula>NOT(ISERROR(SEARCH("Pesquisa de Preços",E401)))</formula>
    </cfRule>
  </conditionalFormatting>
  <conditionalFormatting sqref="E416 E421">
    <cfRule type="containsText" dxfId="1575" priority="3379" operator="containsText" text="Pesquisa de Preços">
      <formula>NOT(ISERROR(SEARCH("Pesquisa de Preços",E416)))</formula>
    </cfRule>
  </conditionalFormatting>
  <conditionalFormatting sqref="E434">
    <cfRule type="containsText" dxfId="1574" priority="3373" operator="containsText" text="Pesquisa de Preços">
      <formula>NOT(ISERROR(SEARCH("Pesquisa de Preços",E434)))</formula>
    </cfRule>
  </conditionalFormatting>
  <conditionalFormatting sqref="E247">
    <cfRule type="containsText" dxfId="1573" priority="3418" operator="containsText" text="Pesquisa de Preços">
      <formula>NOT(ISERROR(SEARCH("Pesquisa de Preços",E247)))</formula>
    </cfRule>
  </conditionalFormatting>
  <conditionalFormatting sqref="E249:E250">
    <cfRule type="containsText" dxfId="1572" priority="3417" operator="containsText" text="Pesquisa de Preços">
      <formula>NOT(ISERROR(SEARCH("Pesquisa de Preços",E249)))</formula>
    </cfRule>
  </conditionalFormatting>
  <conditionalFormatting sqref="E248">
    <cfRule type="containsText" dxfId="1571" priority="3416" operator="containsText" text="Pesquisa de Preços">
      <formula>NOT(ISERROR(SEARCH("Pesquisa de Preços",E248)))</formula>
    </cfRule>
  </conditionalFormatting>
  <conditionalFormatting sqref="E1089:E1091">
    <cfRule type="containsText" dxfId="1570" priority="3228" operator="containsText" text="Pesquisa de Preços">
      <formula>NOT(ISERROR(SEARCH("Pesquisa de Preços",E1089)))</formula>
    </cfRule>
  </conditionalFormatting>
  <conditionalFormatting sqref="E251:E261">
    <cfRule type="containsText" dxfId="1569" priority="3415" operator="containsText" text="Pesquisa de Preços">
      <formula>NOT(ISERROR(SEARCH("Pesquisa de Preços",E251)))</formula>
    </cfRule>
  </conditionalFormatting>
  <conditionalFormatting sqref="E264:E265">
    <cfRule type="containsText" dxfId="1568" priority="3414" operator="containsText" text="Pesquisa de Preços">
      <formula>NOT(ISERROR(SEARCH("Pesquisa de Preços",E264)))</formula>
    </cfRule>
  </conditionalFormatting>
  <conditionalFormatting sqref="E263">
    <cfRule type="containsText" dxfId="1567" priority="3413" operator="containsText" text="Pesquisa de Preços">
      <formula>NOT(ISERROR(SEARCH("Pesquisa de Preços",E263)))</formula>
    </cfRule>
  </conditionalFormatting>
  <conditionalFormatting sqref="E277:E278 E281:E282">
    <cfRule type="containsText" dxfId="1566" priority="3412" operator="containsText" text="Pesquisa de Preços">
      <formula>NOT(ISERROR(SEARCH("Pesquisa de Preços",E277)))</formula>
    </cfRule>
  </conditionalFormatting>
  <conditionalFormatting sqref="E276">
    <cfRule type="containsText" dxfId="1565" priority="3411" operator="containsText" text="Pesquisa de Preços">
      <formula>NOT(ISERROR(SEARCH("Pesquisa de Preços",E276)))</formula>
    </cfRule>
  </conditionalFormatting>
  <conditionalFormatting sqref="E279:E280">
    <cfRule type="containsText" dxfId="1564" priority="3410" operator="containsText" text="Pesquisa de Preços">
      <formula>NOT(ISERROR(SEARCH("Pesquisa de Preços",E279)))</formula>
    </cfRule>
  </conditionalFormatting>
  <conditionalFormatting sqref="E284:E285 E288:E289">
    <cfRule type="containsText" dxfId="1563" priority="3409" operator="containsText" text="Pesquisa de Preços">
      <formula>NOT(ISERROR(SEARCH("Pesquisa de Preços",E284)))</formula>
    </cfRule>
  </conditionalFormatting>
  <conditionalFormatting sqref="E286:E287">
    <cfRule type="containsText" dxfId="1562" priority="3407" operator="containsText" text="Pesquisa de Preços">
      <formula>NOT(ISERROR(SEARCH("Pesquisa de Preços",E286)))</formula>
    </cfRule>
  </conditionalFormatting>
  <conditionalFormatting sqref="E269:E270 E274:E275">
    <cfRule type="containsText" dxfId="1561" priority="3406" operator="containsText" text="Pesquisa de Preços">
      <formula>NOT(ISERROR(SEARCH("Pesquisa de Preços",E269)))</formula>
    </cfRule>
  </conditionalFormatting>
  <conditionalFormatting sqref="E271:E273">
    <cfRule type="containsText" dxfId="1560" priority="3404" operator="containsText" text="Pesquisa de Preços">
      <formula>NOT(ISERROR(SEARCH("Pesquisa de Preços",E271)))</formula>
    </cfRule>
  </conditionalFormatting>
  <conditionalFormatting sqref="E320">
    <cfRule type="containsText" dxfId="1559" priority="3402" operator="containsText" text="Pesquisa de Preços">
      <formula>NOT(ISERROR(SEARCH("Pesquisa de Preços",E320)))</formula>
    </cfRule>
  </conditionalFormatting>
  <conditionalFormatting sqref="E532:E533 E535:E536">
    <cfRule type="containsText" dxfId="1558" priority="3350" operator="containsText" text="Pesquisa de Preços">
      <formula>NOT(ISERROR(SEARCH("Pesquisa de Preços",E532)))</formula>
    </cfRule>
  </conditionalFormatting>
  <conditionalFormatting sqref="E306">
    <cfRule type="containsText" dxfId="1557" priority="3401" operator="containsText" text="Pesquisa de Preços">
      <formula>NOT(ISERROR(SEARCH("Pesquisa de Preços",E306)))</formula>
    </cfRule>
  </conditionalFormatting>
  <conditionalFormatting sqref="E312:E314">
    <cfRule type="containsText" dxfId="1556" priority="3399" operator="containsText" text="Pesquisa de Preços">
      <formula>NOT(ISERROR(SEARCH("Pesquisa de Preços",E312)))</formula>
    </cfRule>
  </conditionalFormatting>
  <conditionalFormatting sqref="E341">
    <cfRule type="containsText" dxfId="1555" priority="3397" operator="containsText" text="Pesquisa de Preços">
      <formula>NOT(ISERROR(SEARCH("Pesquisa de Preços",E341)))</formula>
    </cfRule>
  </conditionalFormatting>
  <conditionalFormatting sqref="E1286">
    <cfRule type="containsText" dxfId="1554" priority="3152" operator="containsText" text="Pesquisa de Preços">
      <formula>NOT(ISERROR(SEARCH("Pesquisa de Preços",E1286)))</formula>
    </cfRule>
  </conditionalFormatting>
  <conditionalFormatting sqref="E352">
    <cfRule type="containsText" dxfId="1553" priority="3396" operator="containsText" text="Pesquisa de Preços">
      <formula>NOT(ISERROR(SEARCH("Pesquisa de Preços",E352)))</formula>
    </cfRule>
  </conditionalFormatting>
  <conditionalFormatting sqref="E351">
    <cfRule type="containsText" dxfId="1552" priority="3395" operator="containsText" text="Pesquisa de Preços">
      <formula>NOT(ISERROR(SEARCH("Pesquisa de Preços",E351)))</formula>
    </cfRule>
  </conditionalFormatting>
  <conditionalFormatting sqref="E355:E358">
    <cfRule type="containsText" dxfId="1551" priority="3394" operator="containsText" text="Pesquisa de Preços">
      <formula>NOT(ISERROR(SEARCH("Pesquisa de Preços",E355)))</formula>
    </cfRule>
  </conditionalFormatting>
  <conditionalFormatting sqref="E291:E292">
    <cfRule type="containsText" dxfId="1550" priority="3393" operator="containsText" text="Pesquisa de Preços">
      <formula>NOT(ISERROR(SEARCH("Pesquisa de Preços",E291)))</formula>
    </cfRule>
  </conditionalFormatting>
  <conditionalFormatting sqref="E298:E299">
    <cfRule type="containsText" dxfId="1549" priority="3391" operator="containsText" text="Pesquisa de Preços">
      <formula>NOT(ISERROR(SEARCH("Pesquisa de Preços",E298)))</formula>
    </cfRule>
  </conditionalFormatting>
  <conditionalFormatting sqref="E326">
    <cfRule type="containsText" dxfId="1548" priority="3389" operator="containsText" text="Pesquisa de Preços">
      <formula>NOT(ISERROR(SEARCH("Pesquisa de Preços",E326)))</formula>
    </cfRule>
  </conditionalFormatting>
  <conditionalFormatting sqref="E329:E339">
    <cfRule type="containsText" dxfId="1547" priority="3388" operator="containsText" text="Pesquisa de Preços">
      <formula>NOT(ISERROR(SEARCH("Pesquisa de Preços",E329)))</formula>
    </cfRule>
  </conditionalFormatting>
  <conditionalFormatting sqref="E366:E367 E369:E370">
    <cfRule type="containsText" dxfId="1546" priority="3387" operator="containsText" text="Pesquisa de Preços">
      <formula>NOT(ISERROR(SEARCH("Pesquisa de Preços",E366)))</formula>
    </cfRule>
  </conditionalFormatting>
  <conditionalFormatting sqref="E365">
    <cfRule type="containsText" dxfId="1545" priority="3386" operator="containsText" text="Pesquisa de Preços">
      <formula>NOT(ISERROR(SEARCH("Pesquisa de Preços",E365)))</formula>
    </cfRule>
  </conditionalFormatting>
  <conditionalFormatting sqref="E368">
    <cfRule type="containsText" dxfId="1544" priority="3385" operator="containsText" text="Pesquisa de Preços">
      <formula>NOT(ISERROR(SEARCH("Pesquisa de Preços",E368)))</formula>
    </cfRule>
  </conditionalFormatting>
  <conditionalFormatting sqref="E372:E373 E378:E379">
    <cfRule type="containsText" dxfId="1543" priority="3384" operator="containsText" text="Pesquisa de Preços">
      <formula>NOT(ISERROR(SEARCH("Pesquisa de Preços",E372)))</formula>
    </cfRule>
  </conditionalFormatting>
  <conditionalFormatting sqref="E371">
    <cfRule type="containsText" dxfId="1542" priority="3383" operator="containsText" text="Pesquisa de Preços">
      <formula>NOT(ISERROR(SEARCH("Pesquisa de Preços",E371)))</formula>
    </cfRule>
  </conditionalFormatting>
  <conditionalFormatting sqref="E374:E377">
    <cfRule type="containsText" dxfId="1541" priority="3382" operator="containsText" text="Pesquisa de Preços">
      <formula>NOT(ISERROR(SEARCH("Pesquisa de Preços",E374)))</formula>
    </cfRule>
  </conditionalFormatting>
  <conditionalFormatting sqref="E402">
    <cfRule type="containsText" dxfId="1540" priority="3381" operator="containsText" text="Pesquisa de Preços">
      <formula>NOT(ISERROR(SEARCH("Pesquisa de Preços",E402)))</formula>
    </cfRule>
  </conditionalFormatting>
  <conditionalFormatting sqref="E415">
    <cfRule type="containsText" dxfId="1539" priority="3378" operator="containsText" text="Pesquisa de Preços">
      <formula>NOT(ISERROR(SEARCH("Pesquisa de Preços",E415)))</formula>
    </cfRule>
  </conditionalFormatting>
  <conditionalFormatting sqref="E441:E442 E444:E445">
    <cfRule type="containsText" dxfId="1538" priority="3377" operator="containsText" text="Pesquisa de Preços">
      <formula>NOT(ISERROR(SEARCH("Pesquisa de Preços",E441)))</formula>
    </cfRule>
  </conditionalFormatting>
  <conditionalFormatting sqref="E440">
    <cfRule type="containsText" dxfId="1537" priority="3376" operator="containsText" text="Pesquisa de Preços">
      <formula>NOT(ISERROR(SEARCH("Pesquisa de Preços",E440)))</formula>
    </cfRule>
  </conditionalFormatting>
  <conditionalFormatting sqref="E443">
    <cfRule type="containsText" dxfId="1536" priority="3375" operator="containsText" text="Pesquisa de Preços">
      <formula>NOT(ISERROR(SEARCH("Pesquisa de Preços",E443)))</formula>
    </cfRule>
  </conditionalFormatting>
  <conditionalFormatting sqref="E435:E436 E438:E439">
    <cfRule type="containsText" dxfId="1535" priority="3374" operator="containsText" text="Pesquisa de Preços">
      <formula>NOT(ISERROR(SEARCH("Pesquisa de Preços",E435)))</formula>
    </cfRule>
  </conditionalFormatting>
  <conditionalFormatting sqref="E437">
    <cfRule type="containsText" dxfId="1534" priority="3372" operator="containsText" text="Pesquisa de Preços">
      <formula>NOT(ISERROR(SEARCH("Pesquisa de Preços",E437)))</formula>
    </cfRule>
  </conditionalFormatting>
  <conditionalFormatting sqref="E455:E456 E459:E463">
    <cfRule type="containsText" dxfId="1533" priority="3371" operator="containsText" text="Pesquisa de Preços">
      <formula>NOT(ISERROR(SEARCH("Pesquisa de Preços",E455)))</formula>
    </cfRule>
  </conditionalFormatting>
  <conditionalFormatting sqref="E454">
    <cfRule type="containsText" dxfId="1532" priority="3370" operator="containsText" text="Pesquisa de Preços">
      <formula>NOT(ISERROR(SEARCH("Pesquisa de Preços",E454)))</formula>
    </cfRule>
  </conditionalFormatting>
  <conditionalFormatting sqref="E458">
    <cfRule type="containsText" dxfId="1531" priority="3369" operator="containsText" text="Pesquisa de Preços">
      <formula>NOT(ISERROR(SEARCH("Pesquisa de Preços",E458)))</formula>
    </cfRule>
  </conditionalFormatting>
  <conditionalFormatting sqref="E465:E466 E469:E470">
    <cfRule type="containsText" dxfId="1530" priority="3368" operator="containsText" text="Pesquisa de Preços">
      <formula>NOT(ISERROR(SEARCH("Pesquisa de Preços",E465)))</formula>
    </cfRule>
  </conditionalFormatting>
  <conditionalFormatting sqref="E464">
    <cfRule type="containsText" dxfId="1529" priority="3367" operator="containsText" text="Pesquisa de Preços">
      <formula>NOT(ISERROR(SEARCH("Pesquisa de Preços",E464)))</formula>
    </cfRule>
  </conditionalFormatting>
  <conditionalFormatting sqref="E468">
    <cfRule type="containsText" dxfId="1528" priority="3366" operator="containsText" text="Pesquisa de Preços">
      <formula>NOT(ISERROR(SEARCH("Pesquisa de Preços",E468)))</formula>
    </cfRule>
  </conditionalFormatting>
  <conditionalFormatting sqref="E472 E482">
    <cfRule type="containsText" dxfId="1527" priority="3365" operator="containsText" text="Pesquisa de Preços">
      <formula>NOT(ISERROR(SEARCH("Pesquisa de Preços",E472)))</formula>
    </cfRule>
  </conditionalFormatting>
  <conditionalFormatting sqref="E471">
    <cfRule type="containsText" dxfId="1526" priority="3364" operator="containsText" text="Pesquisa de Preços">
      <formula>NOT(ISERROR(SEARCH("Pesquisa de Preços",E471)))</formula>
    </cfRule>
  </conditionalFormatting>
  <conditionalFormatting sqref="E447 E451 E453">
    <cfRule type="containsText" dxfId="1525" priority="3363" operator="containsText" text="Pesquisa de Preços">
      <formula>NOT(ISERROR(SEARCH("Pesquisa de Preços",E447)))</formula>
    </cfRule>
  </conditionalFormatting>
  <conditionalFormatting sqref="E446">
    <cfRule type="containsText" dxfId="1524" priority="3362" operator="containsText" text="Pesquisa de Preços">
      <formula>NOT(ISERROR(SEARCH("Pesquisa de Preços",E446)))</formula>
    </cfRule>
  </conditionalFormatting>
  <conditionalFormatting sqref="E484:E485 E487:E488">
    <cfRule type="containsText" dxfId="1523" priority="3361" operator="containsText" text="Pesquisa de Preços">
      <formula>NOT(ISERROR(SEARCH("Pesquisa de Preços",E484)))</formula>
    </cfRule>
  </conditionalFormatting>
  <conditionalFormatting sqref="E483">
    <cfRule type="containsText" dxfId="1522" priority="3360" operator="containsText" text="Pesquisa de Preços">
      <formula>NOT(ISERROR(SEARCH("Pesquisa de Preços",E483)))</formula>
    </cfRule>
  </conditionalFormatting>
  <conditionalFormatting sqref="E486">
    <cfRule type="containsText" dxfId="1521" priority="3359" operator="containsText" text="Pesquisa de Preços">
      <formula>NOT(ISERROR(SEARCH("Pesquisa de Preços",E486)))</formula>
    </cfRule>
  </conditionalFormatting>
  <conditionalFormatting sqref="E505:E506 E509:E510">
    <cfRule type="containsText" dxfId="1520" priority="3358" operator="containsText" text="Pesquisa de Preços">
      <formula>NOT(ISERROR(SEARCH("Pesquisa de Preços",E505)))</formula>
    </cfRule>
  </conditionalFormatting>
  <conditionalFormatting sqref="E504">
    <cfRule type="containsText" dxfId="1519" priority="3357" operator="containsText" text="Pesquisa de Preços">
      <formula>NOT(ISERROR(SEARCH("Pesquisa de Preços",E504)))</formula>
    </cfRule>
  </conditionalFormatting>
  <conditionalFormatting sqref="E1266">
    <cfRule type="containsText" dxfId="1518" priority="3165" operator="containsText" text="Pesquisa de Preços">
      <formula>NOT(ISERROR(SEARCH("Pesquisa de Preços",E1266)))</formula>
    </cfRule>
  </conditionalFormatting>
  <conditionalFormatting sqref="E507:E508">
    <cfRule type="containsText" dxfId="1517" priority="3356" operator="containsText" text="Pesquisa de Preços">
      <formula>NOT(ISERROR(SEARCH("Pesquisa de Preços",E507)))</formula>
    </cfRule>
  </conditionalFormatting>
  <conditionalFormatting sqref="E498 E503">
    <cfRule type="containsText" dxfId="1516" priority="3355" operator="containsText" text="Pesquisa de Preços">
      <formula>NOT(ISERROR(SEARCH("Pesquisa de Preços",E498)))</formula>
    </cfRule>
  </conditionalFormatting>
  <conditionalFormatting sqref="E497">
    <cfRule type="containsText" dxfId="1515" priority="3354" operator="containsText" text="Pesquisa de Preços">
      <formula>NOT(ISERROR(SEARCH("Pesquisa de Preços",E497)))</formula>
    </cfRule>
  </conditionalFormatting>
  <conditionalFormatting sqref="E1300">
    <cfRule type="containsText" dxfId="1514" priority="3162" operator="containsText" text="Pesquisa de Preços">
      <formula>NOT(ISERROR(SEARCH("Pesquisa de Preços",E1300)))</formula>
    </cfRule>
  </conditionalFormatting>
  <conditionalFormatting sqref="E512:E513 E515:E516">
    <cfRule type="containsText" dxfId="1513" priority="3353" operator="containsText" text="Pesquisa de Preços">
      <formula>NOT(ISERROR(SEARCH("Pesquisa de Preços",E512)))</formula>
    </cfRule>
  </conditionalFormatting>
  <conditionalFormatting sqref="E511">
    <cfRule type="containsText" dxfId="1512" priority="3352" operator="containsText" text="Pesquisa de Preços">
      <formula>NOT(ISERROR(SEARCH("Pesquisa de Preços",E511)))</formula>
    </cfRule>
  </conditionalFormatting>
  <conditionalFormatting sqref="E1308">
    <cfRule type="containsText" dxfId="1511" priority="3159" operator="containsText" text="Pesquisa de Preços">
      <formula>NOT(ISERROR(SEARCH("Pesquisa de Preços",E1308)))</formula>
    </cfRule>
  </conditionalFormatting>
  <conditionalFormatting sqref="E531">
    <cfRule type="containsText" dxfId="1510" priority="3349" operator="containsText" text="Pesquisa de Preços">
      <formula>NOT(ISERROR(SEARCH("Pesquisa de Preços",E531)))</formula>
    </cfRule>
  </conditionalFormatting>
  <conditionalFormatting sqref="E1272">
    <cfRule type="containsText" dxfId="1509" priority="3157" operator="containsText" text="Pesquisa de Preços">
      <formula>NOT(ISERROR(SEARCH("Pesquisa de Preços",E1272)))</formula>
    </cfRule>
  </conditionalFormatting>
  <conditionalFormatting sqref="E534">
    <cfRule type="containsText" dxfId="1508" priority="3348" operator="containsText" text="Pesquisa de Preços">
      <formula>NOT(ISERROR(SEARCH("Pesquisa de Preços",E534)))</formula>
    </cfRule>
  </conditionalFormatting>
  <conditionalFormatting sqref="E489">
    <cfRule type="containsText" dxfId="1507" priority="3346" operator="containsText" text="Pesquisa de Preços">
      <formula>NOT(ISERROR(SEARCH("Pesquisa de Preços",E489)))</formula>
    </cfRule>
  </conditionalFormatting>
  <conditionalFormatting sqref="E1279">
    <cfRule type="containsText" dxfId="1506" priority="3154" operator="containsText" text="Pesquisa de Preços">
      <formula>NOT(ISERROR(SEARCH("Pesquisa de Preços",E1279)))</formula>
    </cfRule>
  </conditionalFormatting>
  <conditionalFormatting sqref="E525:E530">
    <cfRule type="containsText" dxfId="1505" priority="3345" operator="containsText" text="Pesquisa de Preços">
      <formula>NOT(ISERROR(SEARCH("Pesquisa de Preços",E525)))</formula>
    </cfRule>
  </conditionalFormatting>
  <conditionalFormatting sqref="E524">
    <cfRule type="containsText" dxfId="1504" priority="3344" operator="containsText" text="Pesquisa de Preços">
      <formula>NOT(ISERROR(SEARCH("Pesquisa de Preços",E524)))</formula>
    </cfRule>
  </conditionalFormatting>
  <conditionalFormatting sqref="E518 E523">
    <cfRule type="containsText" dxfId="1503" priority="3342" operator="containsText" text="Pesquisa de Preços">
      <formula>NOT(ISERROR(SEARCH("Pesquisa de Preços",E518)))</formula>
    </cfRule>
  </conditionalFormatting>
  <conditionalFormatting sqref="E517">
    <cfRule type="containsText" dxfId="1502" priority="3341" operator="containsText" text="Pesquisa de Preços">
      <formula>NOT(ISERROR(SEARCH("Pesquisa de Preços",E517)))</formula>
    </cfRule>
  </conditionalFormatting>
  <conditionalFormatting sqref="E1293">
    <cfRule type="containsText" dxfId="1501" priority="3150" operator="containsText" text="Pesquisa de Preços">
      <formula>NOT(ISERROR(SEARCH("Pesquisa de Preços",E1293)))</formula>
    </cfRule>
  </conditionalFormatting>
  <conditionalFormatting sqref="E546:E547 E551:E552">
    <cfRule type="containsText" dxfId="1500" priority="3340" operator="containsText" text="Pesquisa de Preços">
      <formula>NOT(ISERROR(SEARCH("Pesquisa de Preços",E546)))</formula>
    </cfRule>
  </conditionalFormatting>
  <conditionalFormatting sqref="E1334">
    <cfRule type="containsText" dxfId="1499" priority="3148" operator="containsText" text="Pesquisa de Preços">
      <formula>NOT(ISERROR(SEARCH("Pesquisa de Preços",E1334)))</formula>
    </cfRule>
  </conditionalFormatting>
  <conditionalFormatting sqref="E548:E550">
    <cfRule type="containsText" dxfId="1498" priority="3338" operator="containsText" text="Pesquisa de Preços">
      <formula>NOT(ISERROR(SEARCH("Pesquisa de Preços",E548)))</formula>
    </cfRule>
  </conditionalFormatting>
  <conditionalFormatting sqref="E554:E555 E559:E560">
    <cfRule type="containsText" dxfId="1497" priority="3337" operator="containsText" text="Pesquisa de Preços">
      <formula>NOT(ISERROR(SEARCH("Pesquisa de Preços",E554)))</formula>
    </cfRule>
  </conditionalFormatting>
  <conditionalFormatting sqref="E1328">
    <cfRule type="containsText" dxfId="1496" priority="3146" operator="containsText" text="Pesquisa de Preços">
      <formula>NOT(ISERROR(SEARCH("Pesquisa de Preços",E1328)))</formula>
    </cfRule>
  </conditionalFormatting>
  <conditionalFormatting sqref="E556:E558">
    <cfRule type="containsText" dxfId="1495" priority="3335" operator="containsText" text="Pesquisa de Preços">
      <formula>NOT(ISERROR(SEARCH("Pesquisa de Preços",E556)))</formula>
    </cfRule>
  </conditionalFormatting>
  <conditionalFormatting sqref="E538:E539 E543:E544">
    <cfRule type="containsText" dxfId="1494" priority="3334" operator="containsText" text="Pesquisa de Preços">
      <formula>NOT(ISERROR(SEARCH("Pesquisa de Preços",E538)))</formula>
    </cfRule>
  </conditionalFormatting>
  <conditionalFormatting sqref="E537">
    <cfRule type="containsText" dxfId="1493" priority="3333" operator="containsText" text="Pesquisa de Preços">
      <formula>NOT(ISERROR(SEARCH("Pesquisa de Preços",E537)))</formula>
    </cfRule>
  </conditionalFormatting>
  <conditionalFormatting sqref="E1322">
    <cfRule type="containsText" dxfId="1492" priority="3144" operator="containsText" text="Pesquisa de Preços">
      <formula>NOT(ISERROR(SEARCH("Pesquisa de Preços",E1322)))</formula>
    </cfRule>
  </conditionalFormatting>
  <conditionalFormatting sqref="E540:E542">
    <cfRule type="containsText" dxfId="1491" priority="3332" operator="containsText" text="Pesquisa de Preços">
      <formula>NOT(ISERROR(SEARCH("Pesquisa de Preços",E540)))</formula>
    </cfRule>
  </conditionalFormatting>
  <conditionalFormatting sqref="E562:E563 E567:E568">
    <cfRule type="containsText" dxfId="1490" priority="3331" operator="containsText" text="Pesquisa de Preços">
      <formula>NOT(ISERROR(SEARCH("Pesquisa de Preços",E562)))</formula>
    </cfRule>
  </conditionalFormatting>
  <conditionalFormatting sqref="E561">
    <cfRule type="containsText" dxfId="1489" priority="3330" operator="containsText" text="Pesquisa de Preços">
      <formula>NOT(ISERROR(SEARCH("Pesquisa de Preços",E561)))</formula>
    </cfRule>
  </conditionalFormatting>
  <conditionalFormatting sqref="E1317">
    <cfRule type="containsText" dxfId="1488" priority="3142" operator="containsText" text="Pesquisa de Preços">
      <formula>NOT(ISERROR(SEARCH("Pesquisa de Preços",E1317)))</formula>
    </cfRule>
  </conditionalFormatting>
  <conditionalFormatting sqref="E564:E566">
    <cfRule type="containsText" dxfId="1487" priority="3329" operator="containsText" text="Pesquisa de Preços">
      <formula>NOT(ISERROR(SEARCH("Pesquisa de Preços",E564)))</formula>
    </cfRule>
  </conditionalFormatting>
  <conditionalFormatting sqref="E570:E571">
    <cfRule type="containsText" dxfId="1486" priority="3328" operator="containsText" text="Pesquisa de Preços">
      <formula>NOT(ISERROR(SEARCH("Pesquisa de Preços",E570)))</formula>
    </cfRule>
  </conditionalFormatting>
  <conditionalFormatting sqref="E1340">
    <cfRule type="containsText" dxfId="1485" priority="3140" operator="containsText" text="Pesquisa de Preços">
      <formula>NOT(ISERROR(SEARCH("Pesquisa de Preços",E1340)))</formula>
    </cfRule>
  </conditionalFormatting>
  <conditionalFormatting sqref="E580:E581 E584:E587">
    <cfRule type="containsText" dxfId="1484" priority="3326" operator="containsText" text="Pesquisa de Preços">
      <formula>NOT(ISERROR(SEARCH("Pesquisa de Preços",E580)))</formula>
    </cfRule>
  </conditionalFormatting>
  <conditionalFormatting sqref="E1353">
    <cfRule type="containsText" dxfId="1483" priority="3137" operator="containsText" text="Pesquisa de Preços">
      <formula>NOT(ISERROR(SEARCH("Pesquisa de Preços",E1353)))</formula>
    </cfRule>
  </conditionalFormatting>
  <conditionalFormatting sqref="E582:E583">
    <cfRule type="containsText" dxfId="1482" priority="3324" operator="containsText" text="Pesquisa de Preços">
      <formula>NOT(ISERROR(SEARCH("Pesquisa de Preços",E582)))</formula>
    </cfRule>
  </conditionalFormatting>
  <conditionalFormatting sqref="E622 E627:E628">
    <cfRule type="containsText" dxfId="1481" priority="3323" operator="containsText" text="Pesquisa de Preços">
      <formula>NOT(ISERROR(SEARCH("Pesquisa de Preços",E622)))</formula>
    </cfRule>
  </conditionalFormatting>
  <conditionalFormatting sqref="E621">
    <cfRule type="containsText" dxfId="1480" priority="3322" operator="containsText" text="Pesquisa de Preços">
      <formula>NOT(ISERROR(SEARCH("Pesquisa de Preços",E621)))</formula>
    </cfRule>
  </conditionalFormatting>
  <conditionalFormatting sqref="E1347">
    <cfRule type="containsText" dxfId="1479" priority="3134" operator="containsText" text="Pesquisa de Preços">
      <formula>NOT(ISERROR(SEARCH("Pesquisa de Preços",E1347)))</formula>
    </cfRule>
  </conditionalFormatting>
  <conditionalFormatting sqref="E1463">
    <cfRule type="containsText" dxfId="1478" priority="3097" operator="containsText" text="Pesquisa de Preços">
      <formula>NOT(ISERROR(SEARCH("Pesquisa de Preços",E1463)))</formula>
    </cfRule>
  </conditionalFormatting>
  <conditionalFormatting sqref="E832">
    <cfRule type="containsText" dxfId="1477" priority="3303" operator="containsText" text="Pesquisa de Preços">
      <formula>NOT(ISERROR(SEARCH("Pesquisa de Preços",E832)))</formula>
    </cfRule>
  </conditionalFormatting>
  <conditionalFormatting sqref="E1576">
    <cfRule type="containsText" dxfId="1476" priority="3093" operator="containsText" text="Pesquisa de Preços">
      <formula>NOT(ISERROR(SEARCH("Pesquisa de Preços",E1576)))</formula>
    </cfRule>
  </conditionalFormatting>
  <conditionalFormatting sqref="E748">
    <cfRule type="containsText" dxfId="1475" priority="3299" operator="containsText" text="Pesquisa de Preços">
      <formula>NOT(ISERROR(SEARCH("Pesquisa de Preços",E748)))</formula>
    </cfRule>
  </conditionalFormatting>
  <conditionalFormatting sqref="E676">
    <cfRule type="containsText" dxfId="1474" priority="3320" operator="containsText" text="Pesquisa de Preços">
      <formula>NOT(ISERROR(SEARCH("Pesquisa de Preços",E676)))</formula>
    </cfRule>
  </conditionalFormatting>
  <conditionalFormatting sqref="E668">
    <cfRule type="containsText" dxfId="1473" priority="3318" operator="containsText" text="Pesquisa de Preços">
      <formula>NOT(ISERROR(SEARCH("Pesquisa de Preços",E668)))</formula>
    </cfRule>
  </conditionalFormatting>
  <conditionalFormatting sqref="E714">
    <cfRule type="containsText" dxfId="1472" priority="3313" operator="containsText" text="Pesquisa de Preços">
      <formula>NOT(ISERROR(SEARCH("Pesquisa de Preços",E714)))</formula>
    </cfRule>
  </conditionalFormatting>
  <conditionalFormatting sqref="E686">
    <cfRule type="containsText" dxfId="1471" priority="3316" operator="containsText" text="Pesquisa de Preços">
      <formula>NOT(ISERROR(SEARCH("Pesquisa de Preços",E686)))</formula>
    </cfRule>
  </conditionalFormatting>
  <conditionalFormatting sqref="E758:E764">
    <cfRule type="containsText" dxfId="1470" priority="3295" operator="containsText" text="Pesquisa de Preços">
      <formula>NOT(ISERROR(SEARCH("Pesquisa de Preços",E758)))</formula>
    </cfRule>
  </conditionalFormatting>
  <conditionalFormatting sqref="E689:E691">
    <cfRule type="containsText" dxfId="1469" priority="3315" operator="containsText" text="Pesquisa de Preços">
      <formula>NOT(ISERROR(SEARCH("Pesquisa de Preços",E689)))</formula>
    </cfRule>
  </conditionalFormatting>
  <conditionalFormatting sqref="E724">
    <cfRule type="containsText" dxfId="1468" priority="3310" operator="containsText" text="Pesquisa de Preços">
      <formula>NOT(ISERROR(SEARCH("Pesquisa de Preços",E724)))</formula>
    </cfRule>
  </conditionalFormatting>
  <conditionalFormatting sqref="E730">
    <cfRule type="containsText" dxfId="1467" priority="3311" operator="containsText" text="Pesquisa de Preços">
      <formula>NOT(ISERROR(SEARCH("Pesquisa de Preços",E730)))</formula>
    </cfRule>
  </conditionalFormatting>
  <conditionalFormatting sqref="E827">
    <cfRule type="containsText" dxfId="1466" priority="3291" operator="containsText" text="Pesquisa de Preços">
      <formula>NOT(ISERROR(SEARCH("Pesquisa de Preços",E827)))</formula>
    </cfRule>
  </conditionalFormatting>
  <conditionalFormatting sqref="E723">
    <cfRule type="containsText" dxfId="1465" priority="3309" operator="containsText" text="Pesquisa de Preços">
      <formula>NOT(ISERROR(SEARCH("Pesquisa de Preços",E723)))</formula>
    </cfRule>
  </conditionalFormatting>
  <conditionalFormatting sqref="E767">
    <cfRule type="containsText" dxfId="1464" priority="3286" operator="containsText" text="Pesquisa de Preços">
      <formula>NOT(ISERROR(SEARCH("Pesquisa de Preços",E767)))</formula>
    </cfRule>
  </conditionalFormatting>
  <conditionalFormatting sqref="E839">
    <cfRule type="containsText" dxfId="1463" priority="3280" operator="containsText" text="Pesquisa de Preços">
      <formula>NOT(ISERROR(SEARCH("Pesquisa de Preços",E839)))</formula>
    </cfRule>
  </conditionalFormatting>
  <conditionalFormatting sqref="E745:E746">
    <cfRule type="containsText" dxfId="1462" priority="3308" operator="containsText" text="Pesquisa de Preços">
      <formula>NOT(ISERROR(SEARCH("Pesquisa de Preços",E745)))</formula>
    </cfRule>
  </conditionalFormatting>
  <conditionalFormatting sqref="E744">
    <cfRule type="containsText" dxfId="1461" priority="3307" operator="containsText" text="Pesquisa de Preços">
      <formula>NOT(ISERROR(SEARCH("Pesquisa de Preços",E744)))</formula>
    </cfRule>
  </conditionalFormatting>
  <conditionalFormatting sqref="E1418">
    <cfRule type="containsText" dxfId="1460" priority="3099" operator="containsText" text="Pesquisa de Preços">
      <formula>NOT(ISERROR(SEARCH("Pesquisa de Preços",E1418)))</formula>
    </cfRule>
  </conditionalFormatting>
  <conditionalFormatting sqref="E790">
    <cfRule type="containsText" dxfId="1459" priority="3305" operator="containsText" text="Pesquisa de Preços">
      <formula>NOT(ISERROR(SEARCH("Pesquisa de Preços",E790)))</formula>
    </cfRule>
  </conditionalFormatting>
  <conditionalFormatting sqref="E814">
    <cfRule type="containsText" dxfId="1458" priority="3301" operator="containsText" text="Pesquisa de Preços">
      <formula>NOT(ISERROR(SEARCH("Pesquisa de Preços",E814)))</formula>
    </cfRule>
  </conditionalFormatting>
  <conditionalFormatting sqref="E751:E752">
    <cfRule type="containsText" dxfId="1457" priority="3298" operator="containsText" text="Pesquisa de Preços">
      <formula>NOT(ISERROR(SEARCH("Pesquisa de Preços",E751)))</formula>
    </cfRule>
  </conditionalFormatting>
  <conditionalFormatting sqref="E755">
    <cfRule type="containsText" dxfId="1456" priority="3296" operator="containsText" text="Pesquisa de Preços">
      <formula>NOT(ISERROR(SEARCH("Pesquisa de Preços",E755)))</formula>
    </cfRule>
  </conditionalFormatting>
  <conditionalFormatting sqref="E944">
    <cfRule type="containsText" dxfId="1455" priority="3263" operator="containsText" text="Pesquisa de Preços">
      <formula>NOT(ISERROR(SEARCH("Pesquisa de Preços",E944)))</formula>
    </cfRule>
  </conditionalFormatting>
  <conditionalFormatting sqref="E823">
    <cfRule type="containsText" dxfId="1454" priority="3293" operator="containsText" text="Pesquisa de Preços">
      <formula>NOT(ISERROR(SEARCH("Pesquisa de Preços",E823)))</formula>
    </cfRule>
  </conditionalFormatting>
  <conditionalFormatting sqref="E1667">
    <cfRule type="containsText" dxfId="1453" priority="3057" operator="containsText" text="Pesquisa de Preços">
      <formula>NOT(ISERROR(SEARCH("Pesquisa de Preços",E1667)))</formula>
    </cfRule>
  </conditionalFormatting>
  <conditionalFormatting sqref="E804">
    <cfRule type="containsText" dxfId="1452" priority="3289" operator="containsText" text="Pesquisa de Preços">
      <formula>NOT(ISERROR(SEARCH("Pesquisa de Preços",E804)))</formula>
    </cfRule>
  </conditionalFormatting>
  <conditionalFormatting sqref="E976">
    <cfRule type="containsText" dxfId="1451" priority="3257" operator="containsText" text="Pesquisa de Preços">
      <formula>NOT(ISERROR(SEARCH("Pesquisa de Preços",E976)))</formula>
    </cfRule>
  </conditionalFormatting>
  <conditionalFormatting sqref="E819 E822">
    <cfRule type="containsText" dxfId="1450" priority="3288" operator="containsText" text="Pesquisa de Preços">
      <formula>NOT(ISERROR(SEARCH("Pesquisa de Preços",E819)))</formula>
    </cfRule>
  </conditionalFormatting>
  <conditionalFormatting sqref="E818">
    <cfRule type="containsText" dxfId="1449" priority="3287" operator="containsText" text="Pesquisa de Preços">
      <formula>NOT(ISERROR(SEARCH("Pesquisa de Preços",E818)))</formula>
    </cfRule>
  </conditionalFormatting>
  <conditionalFormatting sqref="E979:E984">
    <cfRule type="containsText" dxfId="1448" priority="3256" operator="containsText" text="Pesquisa de Preços">
      <formula>NOT(ISERROR(SEARCH("Pesquisa de Preços",E979)))</formula>
    </cfRule>
  </conditionalFormatting>
  <conditionalFormatting sqref="E766">
    <cfRule type="containsText" dxfId="1447" priority="3285" operator="containsText" text="Pesquisa de Preços">
      <formula>NOT(ISERROR(SEARCH("Pesquisa de Preços",E766)))</formula>
    </cfRule>
  </conditionalFormatting>
  <conditionalFormatting sqref="E1008">
    <cfRule type="containsText" dxfId="1446" priority="3251" operator="containsText" text="Pesquisa de Preços">
      <formula>NOT(ISERROR(SEARCH("Pesquisa de Preços",E1008)))</formula>
    </cfRule>
  </conditionalFormatting>
  <conditionalFormatting sqref="E184:E185">
    <cfRule type="containsText" dxfId="1445" priority="3284" operator="containsText" text="Pesquisa de Preços">
      <formula>NOT(ISERROR(SEARCH("Pesquisa de Preços",E184)))</formula>
    </cfRule>
  </conditionalFormatting>
  <conditionalFormatting sqref="E183">
    <cfRule type="containsText" dxfId="1444" priority="3283" operator="containsText" text="Pesquisa de Preços">
      <formula>NOT(ISERROR(SEARCH("Pesquisa de Preços",E183)))</formula>
    </cfRule>
  </conditionalFormatting>
  <conditionalFormatting sqref="E1011:E1014">
    <cfRule type="containsText" dxfId="1443" priority="3250" operator="containsText" text="Pesquisa de Preços">
      <formula>NOT(ISERROR(SEARCH("Pesquisa de Preços",E1011)))</formula>
    </cfRule>
  </conditionalFormatting>
  <conditionalFormatting sqref="E186:E188">
    <cfRule type="containsText" dxfId="1442" priority="3282" operator="containsText" text="Pesquisa de Preços">
      <formula>NOT(ISERROR(SEARCH("Pesquisa de Preços",E186)))</formula>
    </cfRule>
  </conditionalFormatting>
  <conditionalFormatting sqref="E840 E843:E844">
    <cfRule type="containsText" dxfId="1441" priority="3281" operator="containsText" text="Pesquisa de Preços">
      <formula>NOT(ISERROR(SEARCH("Pesquisa de Preços",E840)))</formula>
    </cfRule>
  </conditionalFormatting>
  <conditionalFormatting sqref="E1711">
    <cfRule type="containsText" dxfId="1440" priority="3049" operator="containsText" text="Pesquisa de Preços">
      <formula>NOT(ISERROR(SEARCH("Pesquisa de Preços",E1711)))</formula>
    </cfRule>
  </conditionalFormatting>
  <conditionalFormatting sqref="E842">
    <cfRule type="containsText" dxfId="1439" priority="3279" operator="containsText" text="Pesquisa de Preços">
      <formula>NOT(ISERROR(SEARCH("Pesquisa de Preços",E842)))</formula>
    </cfRule>
  </conditionalFormatting>
  <conditionalFormatting sqref="E910:E916">
    <cfRule type="containsText" dxfId="1438" priority="3278" operator="containsText" text="Pesquisa de Preços">
      <formula>NOT(ISERROR(SEARCH("Pesquisa de Preços",E910)))</formula>
    </cfRule>
  </conditionalFormatting>
  <conditionalFormatting sqref="E909">
    <cfRule type="containsText" dxfId="1437" priority="3277" operator="containsText" text="Pesquisa de Preços">
      <formula>NOT(ISERROR(SEARCH("Pesquisa de Preços",E909)))</formula>
    </cfRule>
  </conditionalFormatting>
  <conditionalFormatting sqref="E935:E941">
    <cfRule type="containsText" dxfId="1436" priority="3276" operator="containsText" text="Pesquisa de Preços">
      <formula>NOT(ISERROR(SEARCH("Pesquisa de Preços",E935)))</formula>
    </cfRule>
  </conditionalFormatting>
  <conditionalFormatting sqref="E934">
    <cfRule type="containsText" dxfId="1435" priority="3275" operator="containsText" text="Pesquisa de Preços">
      <formula>NOT(ISERROR(SEARCH("Pesquisa de Preços",E934)))</formula>
    </cfRule>
  </conditionalFormatting>
  <conditionalFormatting sqref="E1633">
    <cfRule type="containsText" dxfId="1434" priority="3071" operator="containsText" text="Pesquisa de Preços">
      <formula>NOT(ISERROR(SEARCH("Pesquisa de Preços",E1633)))</formula>
    </cfRule>
  </conditionalFormatting>
  <conditionalFormatting sqref="E926">
    <cfRule type="containsText" dxfId="1433" priority="3274" operator="containsText" text="Pesquisa de Preços">
      <formula>NOT(ISERROR(SEARCH("Pesquisa de Preços",E926)))</formula>
    </cfRule>
  </conditionalFormatting>
  <conditionalFormatting sqref="E925">
    <cfRule type="containsText" dxfId="1432" priority="3273" operator="containsText" text="Pesquisa de Preços">
      <formula>NOT(ISERROR(SEARCH("Pesquisa de Preços",E925)))</formula>
    </cfRule>
  </conditionalFormatting>
  <conditionalFormatting sqref="E1638">
    <cfRule type="containsText" dxfId="1431" priority="3069" operator="containsText" text="Pesquisa de Preços">
      <formula>NOT(ISERROR(SEARCH("Pesquisa de Preços",E1638)))</formula>
    </cfRule>
  </conditionalFormatting>
  <conditionalFormatting sqref="E918">
    <cfRule type="containsText" dxfId="1430" priority="3271" operator="containsText" text="Pesquisa de Preços">
      <formula>NOT(ISERROR(SEARCH("Pesquisa de Preços",E918)))</formula>
    </cfRule>
  </conditionalFormatting>
  <conditionalFormatting sqref="E919 E924">
    <cfRule type="containsText" dxfId="1429" priority="3272" operator="containsText" text="Pesquisa de Preços">
      <formula>NOT(ISERROR(SEARCH("Pesquisa de Preços",E919)))</formula>
    </cfRule>
  </conditionalFormatting>
  <conditionalFormatting sqref="E1609">
    <cfRule type="containsText" dxfId="1428" priority="3065" operator="containsText" text="Pesquisa de Preços">
      <formula>NOT(ISERROR(SEARCH("Pesquisa de Preços",E1609)))</formula>
    </cfRule>
  </conditionalFormatting>
  <conditionalFormatting sqref="E965:E967">
    <cfRule type="containsText" dxfId="1427" priority="3268" operator="containsText" text="Pesquisa de Preços">
      <formula>NOT(ISERROR(SEARCH("Pesquisa de Preços",E965)))</formula>
    </cfRule>
  </conditionalFormatting>
  <conditionalFormatting sqref="E963:E964">
    <cfRule type="containsText" dxfId="1426" priority="3270" operator="containsText" text="Pesquisa de Preços">
      <formula>NOT(ISERROR(SEARCH("Pesquisa de Preços",E963)))</formula>
    </cfRule>
  </conditionalFormatting>
  <conditionalFormatting sqref="E962">
    <cfRule type="containsText" dxfId="1425" priority="3269" operator="containsText" text="Pesquisa de Preços">
      <formula>NOT(ISERROR(SEARCH("Pesquisa de Preços",E962)))</formula>
    </cfRule>
  </conditionalFormatting>
  <conditionalFormatting sqref="E956">
    <cfRule type="containsText" dxfId="1424" priority="3267" operator="containsText" text="Pesquisa de Preços">
      <formula>NOT(ISERROR(SEARCH("Pesquisa de Preços",E956)))</formula>
    </cfRule>
  </conditionalFormatting>
  <conditionalFormatting sqref="E955">
    <cfRule type="containsText" dxfId="1423" priority="3266" operator="containsText" text="Pesquisa de Preços">
      <formula>NOT(ISERROR(SEARCH("Pesquisa de Preços",E955)))</formula>
    </cfRule>
  </conditionalFormatting>
  <conditionalFormatting sqref="E950 E954">
    <cfRule type="containsText" dxfId="1422" priority="3265" operator="containsText" text="Pesquisa de Preços">
      <formula>NOT(ISERROR(SEARCH("Pesquisa de Preços",E950)))</formula>
    </cfRule>
  </conditionalFormatting>
  <conditionalFormatting sqref="E949">
    <cfRule type="containsText" dxfId="1421" priority="3264" operator="containsText" text="Pesquisa de Preços">
      <formula>NOT(ISERROR(SEARCH("Pesquisa de Preços",E949)))</formula>
    </cfRule>
  </conditionalFormatting>
  <conditionalFormatting sqref="E1055">
    <cfRule type="containsText" dxfId="1420" priority="3231" operator="containsText" text="Pesquisa de Preços">
      <formula>NOT(ISERROR(SEARCH("Pesquisa de Preços",E1055)))</formula>
    </cfRule>
  </conditionalFormatting>
  <conditionalFormatting sqref="E969">
    <cfRule type="containsText" dxfId="1419" priority="3260" operator="containsText" text="Pesquisa de Preços">
      <formula>NOT(ISERROR(SEARCH("Pesquisa de Preços",E969)))</formula>
    </cfRule>
  </conditionalFormatting>
  <conditionalFormatting sqref="E943">
    <cfRule type="containsText" dxfId="1418" priority="3262" operator="containsText" text="Pesquisa de Preços">
      <formula>NOT(ISERROR(SEARCH("Pesquisa de Preços",E943)))</formula>
    </cfRule>
  </conditionalFormatting>
  <conditionalFormatting sqref="E970:E971 E974:E975">
    <cfRule type="containsText" dxfId="1417" priority="3261" operator="containsText" text="Pesquisa de Preços">
      <formula>NOT(ISERROR(SEARCH("Pesquisa de Preços",E970)))</formula>
    </cfRule>
  </conditionalFormatting>
  <conditionalFormatting sqref="E972:E973">
    <cfRule type="containsText" dxfId="1416" priority="3259" operator="containsText" text="Pesquisa de Preços">
      <formula>NOT(ISERROR(SEARCH("Pesquisa de Preços",E972)))</formula>
    </cfRule>
  </conditionalFormatting>
  <conditionalFormatting sqref="E977:E978 E985:E986">
    <cfRule type="containsText" dxfId="1415" priority="3258" operator="containsText" text="Pesquisa de Preços">
      <formula>NOT(ISERROR(SEARCH("Pesquisa de Preços",E977)))</formula>
    </cfRule>
  </conditionalFormatting>
  <conditionalFormatting sqref="E1656">
    <cfRule type="containsText" dxfId="1414" priority="3055" operator="containsText" text="Pesquisa de Preços">
      <formula>NOT(ISERROR(SEARCH("Pesquisa de Preços",E1656)))</formula>
    </cfRule>
  </conditionalFormatting>
  <conditionalFormatting sqref="E988:E989 E996:E997">
    <cfRule type="containsText" dxfId="1413" priority="3255" operator="containsText" text="Pesquisa de Preços">
      <formula>NOT(ISERROR(SEARCH("Pesquisa de Preços",E988)))</formula>
    </cfRule>
  </conditionalFormatting>
  <conditionalFormatting sqref="E987">
    <cfRule type="containsText" dxfId="1412" priority="3254" operator="containsText" text="Pesquisa de Preços">
      <formula>NOT(ISERROR(SEARCH("Pesquisa de Preços",E987)))</formula>
    </cfRule>
  </conditionalFormatting>
  <conditionalFormatting sqref="E1733">
    <cfRule type="containsText" dxfId="1411" priority="3053" operator="containsText" text="Pesquisa de Preços">
      <formula>NOT(ISERROR(SEARCH("Pesquisa de Preços",E1733)))</formula>
    </cfRule>
  </conditionalFormatting>
  <conditionalFormatting sqref="E994:E995 E990:E992">
    <cfRule type="containsText" dxfId="1410" priority="3253" operator="containsText" text="Pesquisa de Preços">
      <formula>NOT(ISERROR(SEARCH("Pesquisa de Preços",E990)))</formula>
    </cfRule>
  </conditionalFormatting>
  <conditionalFormatting sqref="E1009:E1010 E1015:E1016">
    <cfRule type="containsText" dxfId="1409" priority="3252" operator="containsText" text="Pesquisa de Preços">
      <formula>NOT(ISERROR(SEARCH("Pesquisa de Preços",E1009)))</formula>
    </cfRule>
  </conditionalFormatting>
  <conditionalFormatting sqref="E1744">
    <cfRule type="containsText" dxfId="1408" priority="3051" operator="containsText" text="Pesquisa de Preços">
      <formula>NOT(ISERROR(SEARCH("Pesquisa de Preços",E1744)))</formula>
    </cfRule>
  </conditionalFormatting>
  <conditionalFormatting sqref="E999:E1000">
    <cfRule type="containsText" dxfId="1407" priority="3249" operator="containsText" text="Pesquisa de Preços">
      <formula>NOT(ISERROR(SEARCH("Pesquisa de Preços",E999)))</formula>
    </cfRule>
  </conditionalFormatting>
  <conditionalFormatting sqref="E998">
    <cfRule type="containsText" dxfId="1406" priority="3248" operator="containsText" text="Pesquisa de Preços">
      <formula>NOT(ISERROR(SEARCH("Pesquisa de Preços",E998)))</formula>
    </cfRule>
  </conditionalFormatting>
  <conditionalFormatting sqref="E1003">
    <cfRule type="containsText" dxfId="1405" priority="3246" operator="containsText" text="Pesquisa de Preços">
      <formula>NOT(ISERROR(SEARCH("Pesquisa de Preços",E1003)))</formula>
    </cfRule>
  </conditionalFormatting>
  <conditionalFormatting sqref="E1004:E1005">
    <cfRule type="containsText" dxfId="1404" priority="3247" operator="containsText" text="Pesquisa de Preços">
      <formula>NOT(ISERROR(SEARCH("Pesquisa de Preços",E1004)))</formula>
    </cfRule>
  </conditionalFormatting>
  <conditionalFormatting sqref="E1722">
    <cfRule type="containsText" dxfId="1403" priority="3047" operator="containsText" text="Pesquisa de Preços">
      <formula>NOT(ISERROR(SEARCH("Pesquisa de Preços",E1722)))</formula>
    </cfRule>
  </conditionalFormatting>
  <conditionalFormatting sqref="E1022">
    <cfRule type="containsText" dxfId="1402" priority="3244" operator="containsText" text="Pesquisa de Preços">
      <formula>NOT(ISERROR(SEARCH("Pesquisa de Preços",E1022)))</formula>
    </cfRule>
  </conditionalFormatting>
  <conditionalFormatting sqref="E1023:E1024 E1031">
    <cfRule type="containsText" dxfId="1401" priority="3245" operator="containsText" text="Pesquisa de Preços">
      <formula>NOT(ISERROR(SEARCH("Pesquisa de Preços",E1023)))</formula>
    </cfRule>
  </conditionalFormatting>
  <conditionalFormatting sqref="E1697">
    <cfRule type="containsText" dxfId="1400" priority="3045" operator="containsText" text="Pesquisa de Preços">
      <formula>NOT(ISERROR(SEARCH("Pesquisa de Preços",E1697)))</formula>
    </cfRule>
  </conditionalFormatting>
  <conditionalFormatting sqref="E1026:E1029">
    <cfRule type="containsText" dxfId="1399" priority="3243" operator="containsText" text="Pesquisa de Preços">
      <formula>NOT(ISERROR(SEARCH("Pesquisa de Preços",E1026)))</formula>
    </cfRule>
  </conditionalFormatting>
  <conditionalFormatting sqref="E1033:E1034 E1040">
    <cfRule type="containsText" dxfId="1398" priority="3242" operator="containsText" text="Pesquisa de Preços">
      <formula>NOT(ISERROR(SEARCH("Pesquisa de Preços",E1033)))</formula>
    </cfRule>
  </conditionalFormatting>
  <conditionalFormatting sqref="E1032">
    <cfRule type="containsText" dxfId="1397" priority="3241" operator="containsText" text="Pesquisa de Preços">
      <formula>NOT(ISERROR(SEARCH("Pesquisa de Preços",E1032)))</formula>
    </cfRule>
  </conditionalFormatting>
  <conditionalFormatting sqref="E1703">
    <cfRule type="containsText" dxfId="1396" priority="3043" operator="containsText" text="Pesquisa de Preços">
      <formula>NOT(ISERROR(SEARCH("Pesquisa de Preços",E1703)))</formula>
    </cfRule>
  </conditionalFormatting>
  <conditionalFormatting sqref="E1018:E1019">
    <cfRule type="containsText" dxfId="1395" priority="3240" operator="containsText" text="Pesquisa de Preços">
      <formula>NOT(ISERROR(SEARCH("Pesquisa de Preços",E1018)))</formula>
    </cfRule>
  </conditionalFormatting>
  <conditionalFormatting sqref="E1017">
    <cfRule type="containsText" dxfId="1394" priority="3239" operator="containsText" text="Pesquisa de Preços">
      <formula>NOT(ISERROR(SEARCH("Pesquisa de Preços",E1017)))</formula>
    </cfRule>
  </conditionalFormatting>
  <conditionalFormatting sqref="E1020">
    <cfRule type="containsText" dxfId="1393" priority="3238" operator="containsText" text="Pesquisa de Preços">
      <formula>NOT(ISERROR(SEARCH("Pesquisa de Preços",E1020)))</formula>
    </cfRule>
  </conditionalFormatting>
  <conditionalFormatting sqref="E1095:E1096">
    <cfRule type="containsText" dxfId="1392" priority="3237" operator="containsText" text="Pesquisa de Preços">
      <formula>NOT(ISERROR(SEARCH("Pesquisa de Preços",E1095)))</formula>
    </cfRule>
  </conditionalFormatting>
  <conditionalFormatting sqref="E1094">
    <cfRule type="containsText" dxfId="1391" priority="3236" operator="containsText" text="Pesquisa de Preços">
      <formula>NOT(ISERROR(SEARCH("Pesquisa de Preços",E1094)))</formula>
    </cfRule>
  </conditionalFormatting>
  <conditionalFormatting sqref="E1042:E1043 E1046:E1047">
    <cfRule type="containsText" dxfId="1390" priority="3235" operator="containsText" text="Pesquisa de Preços">
      <formula>NOT(ISERROR(SEARCH("Pesquisa de Preços",E1042)))</formula>
    </cfRule>
  </conditionalFormatting>
  <conditionalFormatting sqref="E1041">
    <cfRule type="containsText" dxfId="1389" priority="3234" operator="containsText" text="Pesquisa de Preços">
      <formula>NOT(ISERROR(SEARCH("Pesquisa de Preços",E1041)))</formula>
    </cfRule>
  </conditionalFormatting>
  <conditionalFormatting sqref="E1044:E1045">
    <cfRule type="containsText" dxfId="1388" priority="3233" operator="containsText" text="Pesquisa de Preços">
      <formula>NOT(ISERROR(SEARCH("Pesquisa de Preços",E1044)))</formula>
    </cfRule>
  </conditionalFormatting>
  <conditionalFormatting sqref="E1056:E1057 E1061">
    <cfRule type="containsText" dxfId="1387" priority="3232" operator="containsText" text="Pesquisa de Preços">
      <formula>NOT(ISERROR(SEARCH("Pesquisa de Preços",E1056)))</formula>
    </cfRule>
  </conditionalFormatting>
  <conditionalFormatting sqref="E1087:E1088 E1093">
    <cfRule type="containsText" dxfId="1386" priority="3230" operator="containsText" text="Pesquisa de Preços">
      <formula>NOT(ISERROR(SEARCH("Pesquisa de Preços",E1087)))</formula>
    </cfRule>
  </conditionalFormatting>
  <conditionalFormatting sqref="E1086">
    <cfRule type="containsText" dxfId="1385" priority="3229" operator="containsText" text="Pesquisa de Preços">
      <formula>NOT(ISERROR(SEARCH("Pesquisa de Preços",E1086)))</formula>
    </cfRule>
  </conditionalFormatting>
  <conditionalFormatting sqref="E1049:E1050">
    <cfRule type="containsText" dxfId="1384" priority="3227" operator="containsText" text="Pesquisa de Preços">
      <formula>NOT(ISERROR(SEARCH("Pesquisa de Preços",E1049)))</formula>
    </cfRule>
  </conditionalFormatting>
  <conditionalFormatting sqref="E1048">
    <cfRule type="containsText" dxfId="1383" priority="3226" operator="containsText" text="Pesquisa de Preços">
      <formula>NOT(ISERROR(SEARCH("Pesquisa de Preços",E1048)))</formula>
    </cfRule>
  </conditionalFormatting>
  <conditionalFormatting sqref="E1051:E1053">
    <cfRule type="containsText" dxfId="1382" priority="3225" operator="containsText" text="Pesquisa de Preços">
      <formula>NOT(ISERROR(SEARCH("Pesquisa de Preços",E1051)))</formula>
    </cfRule>
  </conditionalFormatting>
  <conditionalFormatting sqref="E1063">
    <cfRule type="containsText" dxfId="1381" priority="3224" operator="containsText" text="Pesquisa de Preços">
      <formula>NOT(ISERROR(SEARCH("Pesquisa de Preços",E1063)))</formula>
    </cfRule>
  </conditionalFormatting>
  <conditionalFormatting sqref="E1062">
    <cfRule type="containsText" dxfId="1380" priority="3223" operator="containsText" text="Pesquisa de Preços">
      <formula>NOT(ISERROR(SEARCH("Pesquisa de Preços",E1062)))</formula>
    </cfRule>
  </conditionalFormatting>
  <conditionalFormatting sqref="E1079 E1085">
    <cfRule type="containsText" dxfId="1379" priority="3222" operator="containsText" text="Pesquisa de Preços">
      <formula>NOT(ISERROR(SEARCH("Pesquisa de Preços",E1079)))</formula>
    </cfRule>
  </conditionalFormatting>
  <conditionalFormatting sqref="E1078">
    <cfRule type="containsText" dxfId="1378" priority="3221" operator="containsText" text="Pesquisa de Preços">
      <formula>NOT(ISERROR(SEARCH("Pesquisa de Preços",E1078)))</formula>
    </cfRule>
  </conditionalFormatting>
  <conditionalFormatting sqref="E1070 E1077">
    <cfRule type="containsText" dxfId="1377" priority="3220" operator="containsText" text="Pesquisa de Preços">
      <formula>NOT(ISERROR(SEARCH("Pesquisa de Preços",E1070)))</formula>
    </cfRule>
  </conditionalFormatting>
  <conditionalFormatting sqref="E1069">
    <cfRule type="containsText" dxfId="1376" priority="3219" operator="containsText" text="Pesquisa de Preços">
      <formula>NOT(ISERROR(SEARCH("Pesquisa de Preços",E1069)))</formula>
    </cfRule>
  </conditionalFormatting>
  <conditionalFormatting sqref="E1118:E1119">
    <cfRule type="containsText" dxfId="1375" priority="3218" operator="containsText" text="Pesquisa de Preços">
      <formula>NOT(ISERROR(SEARCH("Pesquisa de Preços",E1118)))</formula>
    </cfRule>
  </conditionalFormatting>
  <conditionalFormatting sqref="E1117">
    <cfRule type="containsText" dxfId="1374" priority="3217" operator="containsText" text="Pesquisa de Preços">
      <formula>NOT(ISERROR(SEARCH("Pesquisa de Preços",E1117)))</formula>
    </cfRule>
  </conditionalFormatting>
  <conditionalFormatting sqref="E1120">
    <cfRule type="containsText" dxfId="1373" priority="3216" operator="containsText" text="Pesquisa de Preços">
      <formula>NOT(ISERROR(SEARCH("Pesquisa de Preços",E1120)))</formula>
    </cfRule>
  </conditionalFormatting>
  <conditionalFormatting sqref="E1113:E1114">
    <cfRule type="containsText" dxfId="1372" priority="3215" operator="containsText" text="Pesquisa de Preços">
      <formula>NOT(ISERROR(SEARCH("Pesquisa de Preços",E1113)))</formula>
    </cfRule>
  </conditionalFormatting>
  <conditionalFormatting sqref="E1112">
    <cfRule type="containsText" dxfId="1371" priority="3214" operator="containsText" text="Pesquisa de Preços">
      <formula>NOT(ISERROR(SEARCH("Pesquisa de Preços",E1112)))</formula>
    </cfRule>
  </conditionalFormatting>
  <conditionalFormatting sqref="E1840">
    <cfRule type="containsText" dxfId="1370" priority="3032" operator="containsText" text="Pesquisa de Preços">
      <formula>NOT(ISERROR(SEARCH("Pesquisa de Preços",E1840)))</formula>
    </cfRule>
  </conditionalFormatting>
  <conditionalFormatting sqref="E1239:E1240 E1244">
    <cfRule type="containsText" dxfId="1369" priority="3213" operator="containsText" text="Pesquisa de Preços">
      <formula>NOT(ISERROR(SEARCH("Pesquisa de Preços",E1239)))</formula>
    </cfRule>
  </conditionalFormatting>
  <conditionalFormatting sqref="E1238">
    <cfRule type="containsText" dxfId="1368" priority="3212" operator="containsText" text="Pesquisa de Preços">
      <formula>NOT(ISERROR(SEARCH("Pesquisa de Preços",E1238)))</formula>
    </cfRule>
  </conditionalFormatting>
  <conditionalFormatting sqref="E1846">
    <cfRule type="containsText" dxfId="1367" priority="3029" operator="containsText" text="Pesquisa de Preços">
      <formula>NOT(ISERROR(SEARCH("Pesquisa de Preços",E1846)))</formula>
    </cfRule>
  </conditionalFormatting>
  <conditionalFormatting sqref="E1232:E1233 E1237">
    <cfRule type="containsText" dxfId="1366" priority="3211" operator="containsText" text="Pesquisa de Preços">
      <formula>NOT(ISERROR(SEARCH("Pesquisa de Preços",E1232)))</formula>
    </cfRule>
  </conditionalFormatting>
  <conditionalFormatting sqref="E1231">
    <cfRule type="containsText" dxfId="1365" priority="3210" operator="containsText" text="Pesquisa de Preços">
      <formula>NOT(ISERROR(SEARCH("Pesquisa de Preços",E1231)))</formula>
    </cfRule>
  </conditionalFormatting>
  <conditionalFormatting sqref="E1833">
    <cfRule type="containsText" dxfId="1364" priority="3026" operator="containsText" text="Pesquisa de Preços">
      <formula>NOT(ISERROR(SEARCH("Pesquisa de Preços",E1833)))</formula>
    </cfRule>
  </conditionalFormatting>
  <conditionalFormatting sqref="E1225:E1226 E1230">
    <cfRule type="containsText" dxfId="1363" priority="3209" operator="containsText" text="Pesquisa de Preços">
      <formula>NOT(ISERROR(SEARCH("Pesquisa de Preços",E1225)))</formula>
    </cfRule>
  </conditionalFormatting>
  <conditionalFormatting sqref="E1224">
    <cfRule type="containsText" dxfId="1362" priority="3208" operator="containsText" text="Pesquisa de Preços">
      <formula>NOT(ISERROR(SEARCH("Pesquisa de Preços",E1224)))</formula>
    </cfRule>
  </conditionalFormatting>
  <conditionalFormatting sqref="E1852">
    <cfRule type="containsText" dxfId="1361" priority="3024" operator="containsText" text="Pesquisa de Preços">
      <formula>NOT(ISERROR(SEARCH("Pesquisa de Preços",E1852)))</formula>
    </cfRule>
  </conditionalFormatting>
  <conditionalFormatting sqref="E1218:E1219 E1223">
    <cfRule type="containsText" dxfId="1360" priority="3207" operator="containsText" text="Pesquisa de Preços">
      <formula>NOT(ISERROR(SEARCH("Pesquisa de Preços",E1218)))</formula>
    </cfRule>
  </conditionalFormatting>
  <conditionalFormatting sqref="E1217">
    <cfRule type="containsText" dxfId="1359" priority="3206" operator="containsText" text="Pesquisa de Preços">
      <formula>NOT(ISERROR(SEARCH("Pesquisa de Preços",E1217)))</formula>
    </cfRule>
  </conditionalFormatting>
  <conditionalFormatting sqref="E1134:E1135 E1138:E1139">
    <cfRule type="containsText" dxfId="1358" priority="3205" operator="containsText" text="Pesquisa de Preços">
      <formula>NOT(ISERROR(SEARCH("Pesquisa de Preços",E1134)))</formula>
    </cfRule>
  </conditionalFormatting>
  <conditionalFormatting sqref="E1133">
    <cfRule type="containsText" dxfId="1357" priority="3204" operator="containsText" text="Pesquisa de Preços">
      <formula>NOT(ISERROR(SEARCH("Pesquisa de Preços",E1133)))</formula>
    </cfRule>
  </conditionalFormatting>
  <conditionalFormatting sqref="E1136:E1137">
    <cfRule type="containsText" dxfId="1356" priority="3203" operator="containsText" text="Pesquisa de Preços">
      <formula>NOT(ISERROR(SEARCH("Pesquisa de Preços",E1136)))</formula>
    </cfRule>
  </conditionalFormatting>
  <conditionalFormatting sqref="E1123:E1124 E1126:E1127">
    <cfRule type="containsText" dxfId="1355" priority="3202" operator="containsText" text="Pesquisa de Preços">
      <formula>NOT(ISERROR(SEARCH("Pesquisa de Preços",E1123)))</formula>
    </cfRule>
  </conditionalFormatting>
  <conditionalFormatting sqref="E1122">
    <cfRule type="containsText" dxfId="1354" priority="3201" operator="containsText" text="Pesquisa de Preços">
      <formula>NOT(ISERROR(SEARCH("Pesquisa de Preços",E1122)))</formula>
    </cfRule>
  </conditionalFormatting>
  <conditionalFormatting sqref="E1125">
    <cfRule type="containsText" dxfId="1353" priority="3200" operator="containsText" text="Pesquisa de Preços">
      <formula>NOT(ISERROR(SEARCH("Pesquisa de Preços",E1125)))</formula>
    </cfRule>
  </conditionalFormatting>
  <conditionalFormatting sqref="E1260 E1265">
    <cfRule type="containsText" dxfId="1352" priority="3199" operator="containsText" text="Pesquisa de Preços">
      <formula>NOT(ISERROR(SEARCH("Pesquisa de Preços",E1260)))</formula>
    </cfRule>
  </conditionalFormatting>
  <conditionalFormatting sqref="E1259">
    <cfRule type="containsText" dxfId="1351" priority="3198" operator="containsText" text="Pesquisa de Preços">
      <formula>NOT(ISERROR(SEARCH("Pesquisa de Preços",E1259)))</formula>
    </cfRule>
  </conditionalFormatting>
  <conditionalFormatting sqref="E1248:E1249">
    <cfRule type="containsText" dxfId="1350" priority="3195" operator="containsText" text="Pesquisa de Preços">
      <formula>NOT(ISERROR(SEARCH("Pesquisa de Preços",E1248)))</formula>
    </cfRule>
  </conditionalFormatting>
  <conditionalFormatting sqref="E1246:E1247 E1250:E1251">
    <cfRule type="containsText" dxfId="1349" priority="3197" operator="containsText" text="Pesquisa de Preços">
      <formula>NOT(ISERROR(SEARCH("Pesquisa de Preços",E1246)))</formula>
    </cfRule>
  </conditionalFormatting>
  <conditionalFormatting sqref="E1245">
    <cfRule type="containsText" dxfId="1348" priority="3196" operator="containsText" text="Pesquisa de Preços">
      <formula>NOT(ISERROR(SEARCH("Pesquisa de Preços",E1245)))</formula>
    </cfRule>
  </conditionalFormatting>
  <conditionalFormatting sqref="E1148:E1149 E1152:E1153">
    <cfRule type="containsText" dxfId="1347" priority="3194" operator="containsText" text="Pesquisa de Preços">
      <formula>NOT(ISERROR(SEARCH("Pesquisa de Preços",E1148)))</formula>
    </cfRule>
  </conditionalFormatting>
  <conditionalFormatting sqref="E1147">
    <cfRule type="containsText" dxfId="1346" priority="3193" operator="containsText" text="Pesquisa de Preços">
      <formula>NOT(ISERROR(SEARCH("Pesquisa de Preços",E1147)))</formula>
    </cfRule>
  </conditionalFormatting>
  <conditionalFormatting sqref="E1150:E1151">
    <cfRule type="containsText" dxfId="1345" priority="3192" operator="containsText" text="Pesquisa de Preços">
      <formula>NOT(ISERROR(SEARCH("Pesquisa de Preços",E1150)))</formula>
    </cfRule>
  </conditionalFormatting>
  <conditionalFormatting sqref="E1183:E1184 E1188">
    <cfRule type="containsText" dxfId="1344" priority="3191" operator="containsText" text="Pesquisa de Preços">
      <formula>NOT(ISERROR(SEARCH("Pesquisa de Preços",E1183)))</formula>
    </cfRule>
  </conditionalFormatting>
  <conditionalFormatting sqref="E1182">
    <cfRule type="containsText" dxfId="1343" priority="3190" operator="containsText" text="Pesquisa de Preços">
      <formula>NOT(ISERROR(SEARCH("Pesquisa de Preços",E1182)))</formula>
    </cfRule>
  </conditionalFormatting>
  <conditionalFormatting sqref="E1190:E1191 E1195">
    <cfRule type="containsText" dxfId="1342" priority="3188" operator="containsText" text="Pesquisa de Preços">
      <formula>NOT(ISERROR(SEARCH("Pesquisa de Preços",E1190)))</formula>
    </cfRule>
  </conditionalFormatting>
  <conditionalFormatting sqref="E1189">
    <cfRule type="containsText" dxfId="1341" priority="3187" operator="containsText" text="Pesquisa de Preços">
      <formula>NOT(ISERROR(SEARCH("Pesquisa de Preços",E1189)))</formula>
    </cfRule>
  </conditionalFormatting>
  <conditionalFormatting sqref="E1900">
    <cfRule type="containsText" dxfId="1340" priority="3014" operator="containsText" text="Pesquisa de Preços">
      <formula>NOT(ISERROR(SEARCH("Pesquisa de Preços",E1900)))</formula>
    </cfRule>
  </conditionalFormatting>
  <conditionalFormatting sqref="E1197:E1198 E1202">
    <cfRule type="containsText" dxfId="1339" priority="3185" operator="containsText" text="Pesquisa de Preços">
      <formula>NOT(ISERROR(SEARCH("Pesquisa de Preços",E1197)))</formula>
    </cfRule>
  </conditionalFormatting>
  <conditionalFormatting sqref="E1196">
    <cfRule type="containsText" dxfId="1338" priority="3184" operator="containsText" text="Pesquisa de Preços">
      <formula>NOT(ISERROR(SEARCH("Pesquisa de Preços",E1196)))</formula>
    </cfRule>
  </conditionalFormatting>
  <conditionalFormatting sqref="E1906">
    <cfRule type="containsText" dxfId="1337" priority="3011" operator="containsText" text="Pesquisa de Preços">
      <formula>NOT(ISERROR(SEARCH("Pesquisa de Preços",E1906)))</formula>
    </cfRule>
  </conditionalFormatting>
  <conditionalFormatting sqref="E1176:E1177 E1180:E1181">
    <cfRule type="containsText" dxfId="1336" priority="3182" operator="containsText" text="Pesquisa de Preços">
      <formula>NOT(ISERROR(SEARCH("Pesquisa de Preços",E1176)))</formula>
    </cfRule>
  </conditionalFormatting>
  <conditionalFormatting sqref="E1175">
    <cfRule type="containsText" dxfId="1335" priority="3181" operator="containsText" text="Pesquisa de Preços">
      <formula>NOT(ISERROR(SEARCH("Pesquisa de Preços",E1175)))</formula>
    </cfRule>
  </conditionalFormatting>
  <conditionalFormatting sqref="E1178:E1179">
    <cfRule type="containsText" dxfId="1334" priority="3180" operator="containsText" text="Pesquisa de Preços">
      <formula>NOT(ISERROR(SEARCH("Pesquisa de Preços",E1178)))</formula>
    </cfRule>
  </conditionalFormatting>
  <conditionalFormatting sqref="E1141:E1142 E1145:E1146">
    <cfRule type="containsText" dxfId="1333" priority="3179" operator="containsText" text="Pesquisa de Preços">
      <formula>NOT(ISERROR(SEARCH("Pesquisa de Preços",E1141)))</formula>
    </cfRule>
  </conditionalFormatting>
  <conditionalFormatting sqref="E1140">
    <cfRule type="containsText" dxfId="1332" priority="3178" operator="containsText" text="Pesquisa de Preços">
      <formula>NOT(ISERROR(SEARCH("Pesquisa de Preços",E1140)))</formula>
    </cfRule>
  </conditionalFormatting>
  <conditionalFormatting sqref="E1922">
    <cfRule type="containsText" dxfId="1331" priority="3008" operator="containsText" text="Pesquisa de Preços">
      <formula>NOT(ISERROR(SEARCH("Pesquisa de Preços",E1922)))</formula>
    </cfRule>
  </conditionalFormatting>
  <conditionalFormatting sqref="E1143:E1144">
    <cfRule type="containsText" dxfId="1330" priority="3177" operator="containsText" text="Pesquisa de Preços">
      <formula>NOT(ISERROR(SEARCH("Pesquisa de Preços",E1143)))</formula>
    </cfRule>
  </conditionalFormatting>
  <conditionalFormatting sqref="E1162:E1163 E1166:E1167">
    <cfRule type="containsText" dxfId="1329" priority="3176" operator="containsText" text="Pesquisa de Preços">
      <formula>NOT(ISERROR(SEARCH("Pesquisa de Preços",E1162)))</formula>
    </cfRule>
  </conditionalFormatting>
  <conditionalFormatting sqref="E1161">
    <cfRule type="containsText" dxfId="1328" priority="3175" operator="containsText" text="Pesquisa de Preços">
      <formula>NOT(ISERROR(SEARCH("Pesquisa de Preços",E1161)))</formula>
    </cfRule>
  </conditionalFormatting>
  <conditionalFormatting sqref="E1917">
    <cfRule type="containsText" dxfId="1327" priority="3006" operator="containsText" text="Pesquisa de Preços">
      <formula>NOT(ISERROR(SEARCH("Pesquisa de Preços",E1917)))</formula>
    </cfRule>
  </conditionalFormatting>
  <conditionalFormatting sqref="E1164:E1165">
    <cfRule type="containsText" dxfId="1326" priority="3174" operator="containsText" text="Pesquisa de Preços">
      <formula>NOT(ISERROR(SEARCH("Pesquisa de Preços",E1164)))</formula>
    </cfRule>
  </conditionalFormatting>
  <conditionalFormatting sqref="E1169 E1174">
    <cfRule type="containsText" dxfId="1325" priority="3173" operator="containsText" text="Pesquisa de Preços">
      <formula>NOT(ISERROR(SEARCH("Pesquisa de Preços",E1169)))</formula>
    </cfRule>
  </conditionalFormatting>
  <conditionalFormatting sqref="E1168">
    <cfRule type="containsText" dxfId="1324" priority="3172" operator="containsText" text="Pesquisa de Preços">
      <formula>NOT(ISERROR(SEARCH("Pesquisa de Preços",E1168)))</formula>
    </cfRule>
  </conditionalFormatting>
  <conditionalFormatting sqref="E1927">
    <cfRule type="containsText" dxfId="1323" priority="3004" operator="containsText" text="Pesquisa de Preços">
      <formula>NOT(ISERROR(SEARCH("Pesquisa de Preços",E1927)))</formula>
    </cfRule>
  </conditionalFormatting>
  <conditionalFormatting sqref="E1203">
    <cfRule type="containsText" dxfId="1322" priority="3170" operator="containsText" text="Pesquisa de Preços">
      <formula>NOT(ISERROR(SEARCH("Pesquisa de Preços",E1203)))</formula>
    </cfRule>
  </conditionalFormatting>
  <conditionalFormatting sqref="E1204:E1205 E1209">
    <cfRule type="containsText" dxfId="1321" priority="3171" operator="containsText" text="Pesquisa de Preços">
      <formula>NOT(ISERROR(SEARCH("Pesquisa de Preços",E1204)))</formula>
    </cfRule>
  </conditionalFormatting>
  <conditionalFormatting sqref="E1948">
    <cfRule type="containsText" dxfId="1320" priority="3002" operator="containsText" text="Pesquisa de Preços">
      <formula>NOT(ISERROR(SEARCH("Pesquisa de Preços",E1948)))</formula>
    </cfRule>
  </conditionalFormatting>
  <conditionalFormatting sqref="E1206:E1207">
    <cfRule type="containsText" dxfId="1319" priority="3169" operator="containsText" text="Pesquisa de Preços">
      <formula>NOT(ISERROR(SEARCH("Pesquisa de Preços",E1206)))</formula>
    </cfRule>
  </conditionalFormatting>
  <conditionalFormatting sqref="E1129">
    <cfRule type="containsText" dxfId="1318" priority="3168" operator="containsText" text="Pesquisa de Preços">
      <formula>NOT(ISERROR(SEARCH("Pesquisa de Preços",E1129)))</formula>
    </cfRule>
  </conditionalFormatting>
  <conditionalFormatting sqref="E1128">
    <cfRule type="containsText" dxfId="1317" priority="3167" operator="containsText" text="Pesquisa de Preços">
      <formula>NOT(ISERROR(SEARCH("Pesquisa de Preços",E1128)))</formula>
    </cfRule>
  </conditionalFormatting>
  <conditionalFormatting sqref="E1267:E1268 E1270:E1271">
    <cfRule type="containsText" dxfId="1316" priority="3166" operator="containsText" text="Pesquisa de Preços">
      <formula>NOT(ISERROR(SEARCH("Pesquisa de Preços",E1267)))</formula>
    </cfRule>
  </conditionalFormatting>
  <conditionalFormatting sqref="E1269">
    <cfRule type="containsText" dxfId="1315" priority="3164" operator="containsText" text="Pesquisa de Preços">
      <formula>NOT(ISERROR(SEARCH("Pesquisa de Preços",E1269)))</formula>
    </cfRule>
  </conditionalFormatting>
  <conditionalFormatting sqref="E1301:E1302 E1306:E1307">
    <cfRule type="containsText" dxfId="1314" priority="3163" operator="containsText" text="Pesquisa de Preços">
      <formula>NOT(ISERROR(SEARCH("Pesquisa de Preços",E1301)))</formula>
    </cfRule>
  </conditionalFormatting>
  <conditionalFormatting sqref="E1303:E1305">
    <cfRule type="containsText" dxfId="1313" priority="3161" operator="containsText" text="Pesquisa de Preços">
      <formula>NOT(ISERROR(SEARCH("Pesquisa de Preços",E1303)))</formula>
    </cfRule>
  </conditionalFormatting>
  <conditionalFormatting sqref="E1309 E1315:E1316">
    <cfRule type="containsText" dxfId="1312" priority="3160" operator="containsText" text="Pesquisa de Preços">
      <formula>NOT(ISERROR(SEARCH("Pesquisa de Preços",E1309)))</formula>
    </cfRule>
  </conditionalFormatting>
  <conditionalFormatting sqref="E1397:E1398 E1401:E1402">
    <cfRule type="containsText" dxfId="1311" priority="3131" operator="containsText" text="Pesquisa de Preços">
      <formula>NOT(ISERROR(SEARCH("Pesquisa de Preços",E1397)))</formula>
    </cfRule>
  </conditionalFormatting>
  <conditionalFormatting sqref="E1273:E1274">
    <cfRule type="containsText" dxfId="1310" priority="3158" operator="containsText" text="Pesquisa de Preços">
      <formula>NOT(ISERROR(SEARCH("Pesquisa de Preços",E1273)))</formula>
    </cfRule>
  </conditionalFormatting>
  <conditionalFormatting sqref="E1275:E1277">
    <cfRule type="containsText" dxfId="1309" priority="3156" operator="containsText" text="Pesquisa de Preços">
      <formula>NOT(ISERROR(SEARCH("Pesquisa de Preços",E1275)))</formula>
    </cfRule>
  </conditionalFormatting>
  <conditionalFormatting sqref="E1280:E1281 E1285">
    <cfRule type="containsText" dxfId="1308" priority="3155" operator="containsText" text="Pesquisa de Preços">
      <formula>NOT(ISERROR(SEARCH("Pesquisa de Preços",E1280)))</formula>
    </cfRule>
  </conditionalFormatting>
  <conditionalFormatting sqref="E1974">
    <cfRule type="containsText" dxfId="1307" priority="2995" operator="containsText" text="Pesquisa de Preços">
      <formula>NOT(ISERROR(SEARCH("Pesquisa de Preços",E1974)))</formula>
    </cfRule>
  </conditionalFormatting>
  <conditionalFormatting sqref="E1287:E1288 E1292">
    <cfRule type="containsText" dxfId="1306" priority="3153" operator="containsText" text="Pesquisa de Preços">
      <formula>NOT(ISERROR(SEARCH("Pesquisa de Preços",E1287)))</formula>
    </cfRule>
  </conditionalFormatting>
  <conditionalFormatting sqref="E1967">
    <cfRule type="containsText" dxfId="1305" priority="2993" operator="containsText" text="Pesquisa de Preços">
      <formula>NOT(ISERROR(SEARCH("Pesquisa de Preços",E1967)))</formula>
    </cfRule>
  </conditionalFormatting>
  <conditionalFormatting sqref="E1294 E1297 E1299">
    <cfRule type="containsText" dxfId="1304" priority="3151" operator="containsText" text="Pesquisa de Preços">
      <formula>NOT(ISERROR(SEARCH("Pesquisa de Preços",E1294)))</formula>
    </cfRule>
  </conditionalFormatting>
  <conditionalFormatting sqref="E1329:E1330">
    <cfRule type="containsText" dxfId="1303" priority="3147" operator="containsText" text="Pesquisa de Preços">
      <formula>NOT(ISERROR(SEARCH("Pesquisa de Preços",E1329)))</formula>
    </cfRule>
  </conditionalFormatting>
  <conditionalFormatting sqref="E1335:E1336">
    <cfRule type="containsText" dxfId="1302" priority="3149" operator="containsText" text="Pesquisa de Preços">
      <formula>NOT(ISERROR(SEARCH("Pesquisa de Preços",E1335)))</formula>
    </cfRule>
  </conditionalFormatting>
  <conditionalFormatting sqref="E2011">
    <cfRule type="containsText" dxfId="1301" priority="2987" operator="containsText" text="Pesquisa de Preços">
      <formula>NOT(ISERROR(SEARCH("Pesquisa de Preços",E2011)))</formula>
    </cfRule>
  </conditionalFormatting>
  <conditionalFormatting sqref="E1318:E1319">
    <cfRule type="containsText" dxfId="1300" priority="3143" operator="containsText" text="Pesquisa de Preços">
      <formula>NOT(ISERROR(SEARCH("Pesquisa de Preços",E1318)))</formula>
    </cfRule>
  </conditionalFormatting>
  <conditionalFormatting sqref="E2004">
    <cfRule type="containsText" dxfId="1299" priority="2985" operator="containsText" text="Pesquisa de Preços">
      <formula>NOT(ISERROR(SEARCH("Pesquisa de Preços",E2004)))</formula>
    </cfRule>
  </conditionalFormatting>
  <conditionalFormatting sqref="E1323:E1324">
    <cfRule type="containsText" dxfId="1298" priority="3145" operator="containsText" text="Pesquisa de Preços">
      <formula>NOT(ISERROR(SEARCH("Pesquisa de Preços",E1323)))</formula>
    </cfRule>
  </conditionalFormatting>
  <conditionalFormatting sqref="E1997">
    <cfRule type="containsText" dxfId="1297" priority="2982" operator="containsText" text="Pesquisa de Preços">
      <formula>NOT(ISERROR(SEARCH("Pesquisa de Preços",E1997)))</formula>
    </cfRule>
  </conditionalFormatting>
  <conditionalFormatting sqref="E1990">
    <cfRule type="containsText" dxfId="1296" priority="2979" operator="containsText" text="Pesquisa de Preços">
      <formula>NOT(ISERROR(SEARCH("Pesquisa de Preços",E1990)))</formula>
    </cfRule>
  </conditionalFormatting>
  <conditionalFormatting sqref="E1341:E1342 E1345:E1346">
    <cfRule type="containsText" dxfId="1295" priority="3141" operator="containsText" text="Pesquisa de Preços">
      <formula>NOT(ISERROR(SEARCH("Pesquisa de Preços",E1341)))</formula>
    </cfRule>
  </conditionalFormatting>
  <conditionalFormatting sqref="E1515">
    <cfRule type="containsText" dxfId="1294" priority="3114" operator="containsText" text="Pesquisa de Preços">
      <formula>NOT(ISERROR(SEARCH("Pesquisa de Preços",E1515)))</formula>
    </cfRule>
  </conditionalFormatting>
  <conditionalFormatting sqref="E1343:E1344">
    <cfRule type="containsText" dxfId="1293" priority="3139" operator="containsText" text="Pesquisa de Preços">
      <formula>NOT(ISERROR(SEARCH("Pesquisa de Preços",E1343)))</formula>
    </cfRule>
  </conditionalFormatting>
  <conditionalFormatting sqref="E1354:E1355 E1358:E1359">
    <cfRule type="containsText" dxfId="1292" priority="3138" operator="containsText" text="Pesquisa de Preços">
      <formula>NOT(ISERROR(SEARCH("Pesquisa de Preços",E1354)))</formula>
    </cfRule>
  </conditionalFormatting>
  <conditionalFormatting sqref="E1523">
    <cfRule type="containsText" dxfId="1291" priority="3115" operator="containsText" text="Pesquisa de Preços">
      <formula>NOT(ISERROR(SEARCH("Pesquisa de Preços",E1523)))</formula>
    </cfRule>
  </conditionalFormatting>
  <conditionalFormatting sqref="E1356:E1357">
    <cfRule type="containsText" dxfId="1290" priority="3136" operator="containsText" text="Pesquisa de Preços">
      <formula>NOT(ISERROR(SEARCH("Pesquisa de Preços",E1356)))</formula>
    </cfRule>
  </conditionalFormatting>
  <conditionalFormatting sqref="E1348 E1351:E1352">
    <cfRule type="containsText" dxfId="1289" priority="3135" operator="containsText" text="Pesquisa de Preços">
      <formula>NOT(ISERROR(SEARCH("Pesquisa de Preços",E1348)))</formula>
    </cfRule>
  </conditionalFormatting>
  <conditionalFormatting sqref="E1396">
    <cfRule type="containsText" dxfId="1288" priority="3130" operator="containsText" text="Pesquisa de Preços">
      <formula>NOT(ISERROR(SEARCH("Pesquisa de Preços",E1396)))</formula>
    </cfRule>
  </conditionalFormatting>
  <conditionalFormatting sqref="E1361 E1364:E1365">
    <cfRule type="containsText" dxfId="1287" priority="3133" operator="containsText" text="Pesquisa de Preços">
      <formula>NOT(ISERROR(SEARCH("Pesquisa de Preços",E1361)))</formula>
    </cfRule>
  </conditionalFormatting>
  <conditionalFormatting sqref="E1360">
    <cfRule type="containsText" dxfId="1286" priority="3132" operator="containsText" text="Pesquisa de Preços">
      <formula>NOT(ISERROR(SEARCH("Pesquisa de Preços",E1360)))</formula>
    </cfRule>
  </conditionalFormatting>
  <conditionalFormatting sqref="E1399:E1400">
    <cfRule type="containsText" dxfId="1285" priority="3129" operator="containsText" text="Pesquisa de Preços">
      <formula>NOT(ISERROR(SEARCH("Pesquisa de Preços",E1399)))</formula>
    </cfRule>
  </conditionalFormatting>
  <conditionalFormatting sqref="E2166">
    <cfRule type="containsText" dxfId="1284" priority="2968" operator="containsText" text="Pesquisa de Preços">
      <formula>NOT(ISERROR(SEARCH("Pesquisa de Preços",E2166)))</formula>
    </cfRule>
  </conditionalFormatting>
  <conditionalFormatting sqref="E1367:E1368 E1370:E1371">
    <cfRule type="containsText" dxfId="1283" priority="3128" operator="containsText" text="Pesquisa de Preços">
      <formula>NOT(ISERROR(SEARCH("Pesquisa de Preços",E1367)))</formula>
    </cfRule>
  </conditionalFormatting>
  <conditionalFormatting sqref="E1366">
    <cfRule type="containsText" dxfId="1282" priority="3127" operator="containsText" text="Pesquisa de Preços">
      <formula>NOT(ISERROR(SEARCH("Pesquisa de Preços",E1366)))</formula>
    </cfRule>
  </conditionalFormatting>
  <conditionalFormatting sqref="E1377">
    <cfRule type="containsText" dxfId="1281" priority="3126" operator="containsText" text="Pesquisa de Preços">
      <formula>NOT(ISERROR(SEARCH("Pesquisa de Preços",E1377)))</formula>
    </cfRule>
  </conditionalFormatting>
  <conditionalFormatting sqref="E1383">
    <cfRule type="containsText" dxfId="1280" priority="3125" operator="containsText" text="Pesquisa de Preços">
      <formula>NOT(ISERROR(SEARCH("Pesquisa de Preços",E1383)))</formula>
    </cfRule>
  </conditionalFormatting>
  <conditionalFormatting sqref="E1404 E1417">
    <cfRule type="containsText" dxfId="1279" priority="3104" operator="containsText" text="Pesquisa de Preços">
      <formula>NOT(ISERROR(SEARCH("Pesquisa de Preços",E1404)))</formula>
    </cfRule>
  </conditionalFormatting>
  <conditionalFormatting sqref="E1555">
    <cfRule type="containsText" dxfId="1278" priority="3123" operator="containsText" text="Pesquisa de Preços">
      <formula>NOT(ISERROR(SEARCH("Pesquisa de Preços",E1555)))</formula>
    </cfRule>
  </conditionalFormatting>
  <conditionalFormatting sqref="E1556:E1557">
    <cfRule type="containsText" dxfId="1277" priority="3124" operator="containsText" text="Pesquisa de Preços">
      <formula>NOT(ISERROR(SEARCH("Pesquisa de Preços",E1556)))</formula>
    </cfRule>
  </conditionalFormatting>
  <conditionalFormatting sqref="E1558 E1560">
    <cfRule type="containsText" dxfId="1276" priority="3122" operator="containsText" text="Pesquisa de Preços">
      <formula>NOT(ISERROR(SEARCH("Pesquisa de Preços",E1558)))</formula>
    </cfRule>
  </conditionalFormatting>
  <conditionalFormatting sqref="E1549:E1550">
    <cfRule type="containsText" dxfId="1275" priority="3121" operator="containsText" text="Pesquisa de Preços">
      <formula>NOT(ISERROR(SEARCH("Pesquisa de Preços",E1549)))</formula>
    </cfRule>
  </conditionalFormatting>
  <conditionalFormatting sqref="E1548">
    <cfRule type="containsText" dxfId="1274" priority="3120" operator="containsText" text="Pesquisa de Preços">
      <formula>NOT(ISERROR(SEARCH("Pesquisa de Preços",E1548)))</formula>
    </cfRule>
  </conditionalFormatting>
  <conditionalFormatting sqref="E2040">
    <cfRule type="containsText" dxfId="1273" priority="2962" operator="containsText" text="Pesquisa de Preços">
      <formula>NOT(ISERROR(SEARCH("Pesquisa de Preços",E2040)))</formula>
    </cfRule>
  </conditionalFormatting>
  <conditionalFormatting sqref="E1541 E1547">
    <cfRule type="containsText" dxfId="1272" priority="3119" operator="containsText" text="Pesquisa de Preços">
      <formula>NOT(ISERROR(SEARCH("Pesquisa de Preços",E1541)))</formula>
    </cfRule>
  </conditionalFormatting>
  <conditionalFormatting sqref="E1540">
    <cfRule type="containsText" dxfId="1271" priority="3118" operator="containsText" text="Pesquisa de Preços">
      <formula>NOT(ISERROR(SEARCH("Pesquisa de Preços",E1540)))</formula>
    </cfRule>
  </conditionalFormatting>
  <conditionalFormatting sqref="E1525">
    <cfRule type="containsText" dxfId="1270" priority="3117" operator="containsText" text="Pesquisa de Preços">
      <formula>NOT(ISERROR(SEARCH("Pesquisa de Preços",E1525)))</formula>
    </cfRule>
  </conditionalFormatting>
  <conditionalFormatting sqref="E1524">
    <cfRule type="containsText" dxfId="1269" priority="3116" operator="containsText" text="Pesquisa de Preços">
      <formula>NOT(ISERROR(SEARCH("Pesquisa de Preços",E1524)))</formula>
    </cfRule>
  </conditionalFormatting>
  <conditionalFormatting sqref="E1563:E1564 E1567:E1568">
    <cfRule type="containsText" dxfId="1268" priority="3109" operator="containsText" text="Pesquisa de Preços">
      <formula>NOT(ISERROR(SEARCH("Pesquisa de Preços",E1563)))</formula>
    </cfRule>
  </conditionalFormatting>
  <conditionalFormatting sqref="E1492">
    <cfRule type="containsText" dxfId="1267" priority="3095" operator="containsText" text="Pesquisa de Preços">
      <formula>NOT(ISERROR(SEARCH("Pesquisa de Preços",E1492)))</formula>
    </cfRule>
  </conditionalFormatting>
  <conditionalFormatting sqref="E1494 E1507">
    <cfRule type="containsText" dxfId="1266" priority="3106" operator="containsText" text="Pesquisa de Preços">
      <formula>NOT(ISERROR(SEARCH("Pesquisa de Preços",E1494)))</formula>
    </cfRule>
  </conditionalFormatting>
  <conditionalFormatting sqref="E1493">
    <cfRule type="containsText" dxfId="1265" priority="3105" operator="containsText" text="Pesquisa de Preços">
      <formula>NOT(ISERROR(SEARCH("Pesquisa de Preços",E1493)))</formula>
    </cfRule>
  </conditionalFormatting>
  <conditionalFormatting sqref="E1539">
    <cfRule type="containsText" dxfId="1264" priority="3113" operator="containsText" text="Pesquisa de Preços">
      <formula>NOT(ISERROR(SEARCH("Pesquisa de Preços",E1539)))</formula>
    </cfRule>
  </conditionalFormatting>
  <conditionalFormatting sqref="E1570:E1571 E1574:E1575">
    <cfRule type="containsText" dxfId="1263" priority="3112" operator="containsText" text="Pesquisa de Preços">
      <formula>NOT(ISERROR(SEARCH("Pesquisa de Preços",E1570)))</formula>
    </cfRule>
  </conditionalFormatting>
  <conditionalFormatting sqref="E1569">
    <cfRule type="containsText" dxfId="1262" priority="3111" operator="containsText" text="Pesquisa de Preços">
      <formula>NOT(ISERROR(SEARCH("Pesquisa de Preços",E1569)))</formula>
    </cfRule>
  </conditionalFormatting>
  <conditionalFormatting sqref="E1573">
    <cfRule type="containsText" dxfId="1261" priority="3110" operator="containsText" text="Pesquisa de Preços">
      <formula>NOT(ISERROR(SEARCH("Pesquisa de Preços",E1573)))</formula>
    </cfRule>
  </conditionalFormatting>
  <conditionalFormatting sqref="E1562">
    <cfRule type="containsText" dxfId="1260" priority="3108" operator="containsText" text="Pesquisa de Preços">
      <formula>NOT(ISERROR(SEARCH("Pesquisa de Preços",E1562)))</formula>
    </cfRule>
  </conditionalFormatting>
  <conditionalFormatting sqref="E1565:E1566">
    <cfRule type="containsText" dxfId="1259" priority="3107" operator="containsText" text="Pesquisa de Preços">
      <formula>NOT(ISERROR(SEARCH("Pesquisa de Preços",E1565)))</formula>
    </cfRule>
  </conditionalFormatting>
  <conditionalFormatting sqref="E1616">
    <cfRule type="containsText" dxfId="1258" priority="3073" operator="containsText" text="Pesquisa de Preços">
      <formula>NOT(ISERROR(SEARCH("Pesquisa de Preços",E1616)))</formula>
    </cfRule>
  </conditionalFormatting>
  <conditionalFormatting sqref="E1403">
    <cfRule type="containsText" dxfId="1257" priority="3103" operator="containsText" text="Pesquisa de Preços">
      <formula>NOT(ISERROR(SEARCH("Pesquisa de Preços",E1403)))</formula>
    </cfRule>
  </conditionalFormatting>
  <conditionalFormatting sqref="E1610 E1614:E1615">
    <cfRule type="containsText" dxfId="1256" priority="3066" operator="containsText" text="Pesquisa de Preços">
      <formula>NOT(ISERROR(SEARCH("Pesquisa de Preços",E1610)))</formula>
    </cfRule>
  </conditionalFormatting>
  <conditionalFormatting sqref="E1434 E1447">
    <cfRule type="containsText" dxfId="1255" priority="3102" operator="containsText" text="Pesquisa de Preços">
      <formula>NOT(ISERROR(SEARCH("Pesquisa de Preços",E1434)))</formula>
    </cfRule>
  </conditionalFormatting>
  <conditionalFormatting sqref="E1433">
    <cfRule type="containsText" dxfId="1254" priority="3101" operator="containsText" text="Pesquisa de Preços">
      <formula>NOT(ISERROR(SEARCH("Pesquisa de Preços",E1433)))</formula>
    </cfRule>
  </conditionalFormatting>
  <conditionalFormatting sqref="E1628 E1632">
    <cfRule type="containsText" dxfId="1253" priority="3078" operator="containsText" text="Pesquisa de Preços">
      <formula>NOT(ISERROR(SEARCH("Pesquisa de Preços",E1628)))</formula>
    </cfRule>
  </conditionalFormatting>
  <conditionalFormatting sqref="E1419 E1432">
    <cfRule type="containsText" dxfId="1252" priority="3100" operator="containsText" text="Pesquisa de Preços">
      <formula>NOT(ISERROR(SEARCH("Pesquisa de Preços",E1419)))</formula>
    </cfRule>
  </conditionalFormatting>
  <conditionalFormatting sqref="E1464 E1477">
    <cfRule type="containsText" dxfId="1251" priority="3098" operator="containsText" text="Pesquisa de Preços">
      <formula>NOT(ISERROR(SEARCH("Pesquisa de Preços",E1464)))</formula>
    </cfRule>
  </conditionalFormatting>
  <conditionalFormatting sqref="E1691 E1694 E1696">
    <cfRule type="containsText" dxfId="1250" priority="3080" operator="containsText" text="Pesquisa de Preços">
      <formula>NOT(ISERROR(SEARCH("Pesquisa de Preços",E1691)))</formula>
    </cfRule>
  </conditionalFormatting>
  <conditionalFormatting sqref="E1462">
    <cfRule type="containsText" dxfId="1249" priority="3096" operator="containsText" text="Pesquisa de Preços">
      <formula>NOT(ISERROR(SEARCH("Pesquisa de Preços",E1462)))</formula>
    </cfRule>
  </conditionalFormatting>
  <conditionalFormatting sqref="E2276">
    <cfRule type="containsText" dxfId="1248" priority="2923" operator="containsText" text="Pesquisa de Preços">
      <formula>NOT(ISERROR(SEARCH("Pesquisa de Preços",E2276)))</formula>
    </cfRule>
  </conditionalFormatting>
  <conditionalFormatting sqref="E1592 E1596">
    <cfRule type="containsText" dxfId="1247" priority="3088" operator="containsText" text="Pesquisa de Preços">
      <formula>NOT(ISERROR(SEARCH("Pesquisa de Preços",E1592)))</formula>
    </cfRule>
  </conditionalFormatting>
  <conditionalFormatting sqref="E1577:E1578 E1589:E1590">
    <cfRule type="containsText" dxfId="1246" priority="3094" operator="containsText" text="Pesquisa de Preços">
      <formula>NOT(ISERROR(SEARCH("Pesquisa de Preços",E1577)))</formula>
    </cfRule>
  </conditionalFormatting>
  <conditionalFormatting sqref="E2211">
    <cfRule type="containsText" dxfId="1245" priority="2939" operator="containsText" text="Pesquisa de Preços">
      <formula>NOT(ISERROR(SEARCH("Pesquisa de Preços",E2211)))</formula>
    </cfRule>
  </conditionalFormatting>
  <conditionalFormatting sqref="E1579:E1588">
    <cfRule type="containsText" dxfId="1244" priority="3092" operator="containsText" text="Pesquisa de Preços">
      <formula>NOT(ISERROR(SEARCH("Pesquisa de Preços",E1579)))</formula>
    </cfRule>
  </conditionalFormatting>
  <conditionalFormatting sqref="E1391:E1392 E1394:E1395">
    <cfRule type="containsText" dxfId="1243" priority="3091" operator="containsText" text="Pesquisa de Preços">
      <formula>NOT(ISERROR(SEARCH("Pesquisa de Preços",E1391)))</formula>
    </cfRule>
  </conditionalFormatting>
  <conditionalFormatting sqref="E1390">
    <cfRule type="containsText" dxfId="1242" priority="3090" operator="containsText" text="Pesquisa de Preços">
      <formula>NOT(ISERROR(SEARCH("Pesquisa de Preços",E1390)))</formula>
    </cfRule>
  </conditionalFormatting>
  <conditionalFormatting sqref="E2230">
    <cfRule type="containsText" dxfId="1241" priority="2935" operator="containsText" text="Pesquisa de Preços">
      <formula>NOT(ISERROR(SEARCH("Pesquisa de Preços",E2230)))</formula>
    </cfRule>
  </conditionalFormatting>
  <conditionalFormatting sqref="E1393">
    <cfRule type="containsText" dxfId="1240" priority="3089" operator="containsText" text="Pesquisa de Preços">
      <formula>NOT(ISERROR(SEARCH("Pesquisa de Preços",E1393)))</formula>
    </cfRule>
  </conditionalFormatting>
  <conditionalFormatting sqref="E1591">
    <cfRule type="containsText" dxfId="1239" priority="3087" operator="containsText" text="Pesquisa de Preços">
      <formula>NOT(ISERROR(SEARCH("Pesquisa de Preços",E1591)))</formula>
    </cfRule>
  </conditionalFormatting>
  <conditionalFormatting sqref="E1634 E1636:E1637">
    <cfRule type="containsText" dxfId="1238" priority="3072" operator="containsText" text="Pesquisa de Preços">
      <formula>NOT(ISERROR(SEARCH("Pesquisa de Preços",E1634)))</formula>
    </cfRule>
  </conditionalFormatting>
  <conditionalFormatting sqref="E1598 E1602">
    <cfRule type="containsText" dxfId="1237" priority="3086" operator="containsText" text="Pesquisa de Preços">
      <formula>NOT(ISERROR(SEARCH("Pesquisa de Preços",E1598)))</formula>
    </cfRule>
  </conditionalFormatting>
  <conditionalFormatting sqref="E1597">
    <cfRule type="containsText" dxfId="1236" priority="3085" operator="containsText" text="Pesquisa de Preços">
      <formula>NOT(ISERROR(SEARCH("Pesquisa de Preços",E1597)))</formula>
    </cfRule>
  </conditionalFormatting>
  <conditionalFormatting sqref="E1644">
    <cfRule type="containsText" dxfId="1235" priority="3082" operator="containsText" text="Pesquisa de Preços">
      <formula>NOT(ISERROR(SEARCH("Pesquisa de Preços",E1644)))</formula>
    </cfRule>
  </conditionalFormatting>
  <conditionalFormatting sqref="E1608">
    <cfRule type="containsText" dxfId="1234" priority="3084" operator="containsText" text="Pesquisa de Preços">
      <formula>NOT(ISERROR(SEARCH("Pesquisa de Preços",E1608)))</formula>
    </cfRule>
  </conditionalFormatting>
  <conditionalFormatting sqref="E1645:E1646">
    <cfRule type="containsText" dxfId="1233" priority="3083" operator="containsText" text="Pesquisa de Preços">
      <formula>NOT(ISERROR(SEARCH("Pesquisa de Preços",E1645)))</formula>
    </cfRule>
  </conditionalFormatting>
  <conditionalFormatting sqref="E2250">
    <cfRule type="containsText" dxfId="1232" priority="2931" operator="containsText" text="Pesquisa de Preços">
      <formula>NOT(ISERROR(SEARCH("Pesquisa de Preços",E2250)))</formula>
    </cfRule>
  </conditionalFormatting>
  <conditionalFormatting sqref="E1647:E1648">
    <cfRule type="containsText" dxfId="1231" priority="3081" operator="containsText" text="Pesquisa de Preços">
      <formula>NOT(ISERROR(SEARCH("Pesquisa de Preços",E1647)))</formula>
    </cfRule>
  </conditionalFormatting>
  <conditionalFormatting sqref="E1690">
    <cfRule type="containsText" dxfId="1230" priority="3079" operator="containsText" text="Pesquisa de Preços">
      <formula>NOT(ISERROR(SEARCH("Pesquisa de Preços",E1690)))</formula>
    </cfRule>
  </conditionalFormatting>
  <conditionalFormatting sqref="E1622 E1626">
    <cfRule type="containsText" dxfId="1229" priority="3076" operator="containsText" text="Pesquisa de Preços">
      <formula>NOT(ISERROR(SEARCH("Pesquisa de Preços",E1622)))</formula>
    </cfRule>
  </conditionalFormatting>
  <conditionalFormatting sqref="E1627">
    <cfRule type="containsText" dxfId="1228" priority="3077" operator="containsText" text="Pesquisa de Preços">
      <formula>NOT(ISERROR(SEARCH("Pesquisa de Preços",E1627)))</formula>
    </cfRule>
  </conditionalFormatting>
  <conditionalFormatting sqref="E1621">
    <cfRule type="containsText" dxfId="1227" priority="3075" operator="containsText" text="Pesquisa de Preços">
      <formula>NOT(ISERROR(SEARCH("Pesquisa de Preços",E1621)))</formula>
    </cfRule>
  </conditionalFormatting>
  <conditionalFormatting sqref="E1617 E1619:E1620">
    <cfRule type="containsText" dxfId="1226" priority="3074" operator="containsText" text="Pesquisa de Preços">
      <formula>NOT(ISERROR(SEARCH("Pesquisa de Preços",E1617)))</formula>
    </cfRule>
  </conditionalFormatting>
  <conditionalFormatting sqref="E1639 E1642:E1643">
    <cfRule type="containsText" dxfId="1225" priority="3070" operator="containsText" text="Pesquisa de Preços">
      <formula>NOT(ISERROR(SEARCH("Pesquisa de Preços",E1639)))</formula>
    </cfRule>
  </conditionalFormatting>
  <conditionalFormatting sqref="E1743 E1734:E1736">
    <cfRule type="containsText" dxfId="1224" priority="3054" operator="containsText" text="Pesquisa de Preços">
      <formula>NOT(ISERROR(SEARCH("Pesquisa de Preços",E1734)))</formula>
    </cfRule>
  </conditionalFormatting>
  <conditionalFormatting sqref="E1684 E1688:E1689">
    <cfRule type="containsText" dxfId="1223" priority="3068" operator="containsText" text="Pesquisa de Preços">
      <formula>NOT(ISERROR(SEARCH("Pesquisa de Preços",E1684)))</formula>
    </cfRule>
  </conditionalFormatting>
  <conditionalFormatting sqref="E1683">
    <cfRule type="containsText" dxfId="1222" priority="3067" operator="containsText" text="Pesquisa de Preços">
      <formula>NOT(ISERROR(SEARCH("Pesquisa de Preços",E1683)))</formula>
    </cfRule>
  </conditionalFormatting>
  <conditionalFormatting sqref="E2354">
    <cfRule type="containsText" dxfId="1221" priority="2900" operator="containsText" text="Pesquisa de Preços">
      <formula>NOT(ISERROR(SEARCH("Pesquisa de Preços",E2354)))</formula>
    </cfRule>
  </conditionalFormatting>
  <conditionalFormatting sqref="E2349">
    <cfRule type="containsText" dxfId="1220" priority="2902" operator="containsText" text="Pesquisa de Preços">
      <formula>NOT(ISERROR(SEARCH("Pesquisa de Preços",E2349)))</formula>
    </cfRule>
  </conditionalFormatting>
  <conditionalFormatting sqref="E1678 E1681:E1682">
    <cfRule type="containsText" dxfId="1219" priority="3064" operator="containsText" text="Pesquisa de Preços">
      <formula>NOT(ISERROR(SEARCH("Pesquisa de Preços",E1678)))</formula>
    </cfRule>
  </conditionalFormatting>
  <conditionalFormatting sqref="E1677">
    <cfRule type="containsText" dxfId="1218" priority="3063" operator="containsText" text="Pesquisa de Preços">
      <formula>NOT(ISERROR(SEARCH("Pesquisa de Preços",E1677)))</formula>
    </cfRule>
  </conditionalFormatting>
  <conditionalFormatting sqref="E1673 E1675:E1676">
    <cfRule type="containsText" dxfId="1217" priority="3062" operator="containsText" text="Pesquisa de Preços">
      <formula>NOT(ISERROR(SEARCH("Pesquisa de Preços",E1673)))</formula>
    </cfRule>
  </conditionalFormatting>
  <conditionalFormatting sqref="E1672">
    <cfRule type="containsText" dxfId="1216" priority="3061" operator="containsText" text="Pesquisa de Preços">
      <formula>NOT(ISERROR(SEARCH("Pesquisa de Preços",E1672)))</formula>
    </cfRule>
  </conditionalFormatting>
  <conditionalFormatting sqref="E1723:E1724 E1732">
    <cfRule type="containsText" dxfId="1215" priority="3048" operator="containsText" text="Pesquisa de Preços">
      <formula>NOT(ISERROR(SEARCH("Pesquisa de Preços",E1723)))</formula>
    </cfRule>
  </conditionalFormatting>
  <conditionalFormatting sqref="E1668">
    <cfRule type="containsText" dxfId="1214" priority="3058" operator="containsText" text="Pesquisa de Preços">
      <formula>NOT(ISERROR(SEARCH("Pesquisa de Preços",E1668)))</formula>
    </cfRule>
  </conditionalFormatting>
  <conditionalFormatting sqref="E1663">
    <cfRule type="containsText" dxfId="1213" priority="3060" operator="containsText" text="Pesquisa de Preços">
      <formula>NOT(ISERROR(SEARCH("Pesquisa de Preços",E1663)))</formula>
    </cfRule>
  </conditionalFormatting>
  <conditionalFormatting sqref="E1662">
    <cfRule type="containsText" dxfId="1212" priority="3059" operator="containsText" text="Pesquisa de Preços">
      <formula>NOT(ISERROR(SEARCH("Pesquisa de Preços",E1662)))</formula>
    </cfRule>
  </conditionalFormatting>
  <conditionalFormatting sqref="E2326">
    <cfRule type="containsText" dxfId="1211" priority="2910" operator="containsText" text="Pesquisa de Preços">
      <formula>NOT(ISERROR(SEARCH("Pesquisa de Preços",E2326)))</formula>
    </cfRule>
  </conditionalFormatting>
  <conditionalFormatting sqref="E2338">
    <cfRule type="containsText" dxfId="1210" priority="2908" operator="containsText" text="Pesquisa de Preços">
      <formula>NOT(ISERROR(SEARCH("Pesquisa de Preços",E2338)))</formula>
    </cfRule>
  </conditionalFormatting>
  <conditionalFormatting sqref="E1657 E1660:E1661">
    <cfRule type="containsText" dxfId="1209" priority="3056" operator="containsText" text="Pesquisa de Preços">
      <formula>NOT(ISERROR(SEARCH("Pesquisa de Preços",E1657)))</formula>
    </cfRule>
  </conditionalFormatting>
  <conditionalFormatting sqref="E1745 E1754">
    <cfRule type="containsText" dxfId="1208" priority="3052" operator="containsText" text="Pesquisa de Preços">
      <formula>NOT(ISERROR(SEARCH("Pesquisa de Preços",E1745)))</formula>
    </cfRule>
  </conditionalFormatting>
  <conditionalFormatting sqref="E1712:E1713 E1721">
    <cfRule type="containsText" dxfId="1207" priority="3050" operator="containsText" text="Pesquisa de Preços">
      <formula>NOT(ISERROR(SEARCH("Pesquisa de Preços",E1712)))</formula>
    </cfRule>
  </conditionalFormatting>
  <conditionalFormatting sqref="E892">
    <cfRule type="containsText" dxfId="1206" priority="2898" operator="containsText" text="Pesquisa de Preços">
      <formula>NOT(ISERROR(SEARCH("Pesquisa de Preços",E892)))</formula>
    </cfRule>
  </conditionalFormatting>
  <conditionalFormatting sqref="E875">
    <cfRule type="containsText" dxfId="1205" priority="2896" operator="containsText" text="Pesquisa de Preços">
      <formula>NOT(ISERROR(SEARCH("Pesquisa de Preços",E875)))</formula>
    </cfRule>
  </conditionalFormatting>
  <conditionalFormatting sqref="E1698:E1699 E1701:E1702">
    <cfRule type="containsText" dxfId="1204" priority="3046" operator="containsText" text="Pesquisa de Preços">
      <formula>NOT(ISERROR(SEARCH("Pesquisa de Preços",E1698)))</formula>
    </cfRule>
  </conditionalFormatting>
  <conditionalFormatting sqref="E850">
    <cfRule type="containsText" dxfId="1203" priority="2885" operator="containsText" text="Pesquisa de Preços">
      <formula>NOT(ISERROR(SEARCH("Pesquisa de Preços",E850)))</formula>
    </cfRule>
  </conditionalFormatting>
  <conditionalFormatting sqref="E1704">
    <cfRule type="containsText" dxfId="1202" priority="3044" operator="containsText" text="Pesquisa de Preços">
      <formula>NOT(ISERROR(SEARCH("Pesquisa de Preços",E1704)))</formula>
    </cfRule>
  </conditionalFormatting>
  <conditionalFormatting sqref="E856">
    <cfRule type="containsText" dxfId="1201" priority="2890" operator="containsText" text="Pesquisa de Preços">
      <formula>NOT(ISERROR(SEARCH("Pesquisa de Preços",E856)))</formula>
    </cfRule>
  </conditionalFormatting>
  <conditionalFormatting sqref="E1707:E1708">
    <cfRule type="containsText" dxfId="1200" priority="3042" operator="containsText" text="Pesquisa de Preços">
      <formula>NOT(ISERROR(SEARCH("Pesquisa de Preços",E1707)))</formula>
    </cfRule>
  </conditionalFormatting>
  <conditionalFormatting sqref="E1817">
    <cfRule type="containsText" dxfId="1199" priority="3041" operator="containsText" text="Pesquisa de Preços">
      <formula>NOT(ISERROR(SEARCH("Pesquisa de Preços",E1817)))</formula>
    </cfRule>
  </conditionalFormatting>
  <conditionalFormatting sqref="E1816">
    <cfRule type="containsText" dxfId="1198" priority="3040" operator="containsText" text="Pesquisa de Preços">
      <formula>NOT(ISERROR(SEARCH("Pesquisa de Preços",E1816)))</formula>
    </cfRule>
  </conditionalFormatting>
  <conditionalFormatting sqref="E1843">
    <cfRule type="containsText" dxfId="1197" priority="3031" operator="containsText" text="Pesquisa de Preços">
      <formula>NOT(ISERROR(SEARCH("Pesquisa de Preços",E1843)))</formula>
    </cfRule>
  </conditionalFormatting>
  <conditionalFormatting sqref="E1812">
    <cfRule type="containsText" dxfId="1196" priority="3039" operator="containsText" text="Pesquisa de Preços">
      <formula>NOT(ISERROR(SEARCH("Pesquisa de Preços",E1812)))</formula>
    </cfRule>
  </conditionalFormatting>
  <conditionalFormatting sqref="E1811">
    <cfRule type="containsText" dxfId="1195" priority="3038" operator="containsText" text="Pesquisa de Preços">
      <formula>NOT(ISERROR(SEARCH("Pesquisa de Preços",E1811)))</formula>
    </cfRule>
  </conditionalFormatting>
  <conditionalFormatting sqref="E1822 E1825:E1826">
    <cfRule type="containsText" dxfId="1194" priority="3037" operator="containsText" text="Pesquisa de Preços">
      <formula>NOT(ISERROR(SEARCH("Pesquisa de Preços",E1822)))</formula>
    </cfRule>
  </conditionalFormatting>
  <conditionalFormatting sqref="E1821">
    <cfRule type="containsText" dxfId="1193" priority="3036" operator="containsText" text="Pesquisa de Preços">
      <formula>NOT(ISERROR(SEARCH("Pesquisa de Preços",E1821)))</formula>
    </cfRule>
  </conditionalFormatting>
  <conditionalFormatting sqref="E1824">
    <cfRule type="containsText" dxfId="1192" priority="3035" operator="containsText" text="Pesquisa de Preços">
      <formula>NOT(ISERROR(SEARCH("Pesquisa de Preços",E1824)))</formula>
    </cfRule>
  </conditionalFormatting>
  <conditionalFormatting sqref="E1832">
    <cfRule type="containsText" dxfId="1191" priority="3034" operator="containsText" text="Pesquisa de Preços">
      <formula>NOT(ISERROR(SEARCH("Pesquisa de Preços",E1832)))</formula>
    </cfRule>
  </conditionalFormatting>
  <conditionalFormatting sqref="E1841:E1842 E1844:E1845">
    <cfRule type="containsText" dxfId="1190" priority="3033" operator="containsText" text="Pesquisa de Preços">
      <formula>NOT(ISERROR(SEARCH("Pesquisa de Preços",E1841)))</formula>
    </cfRule>
  </conditionalFormatting>
  <conditionalFormatting sqref="E1847:E1848 E1850:E1851">
    <cfRule type="containsText" dxfId="1189" priority="3030" operator="containsText" text="Pesquisa de Preços">
      <formula>NOT(ISERROR(SEARCH("Pesquisa de Preços",E1847)))</formula>
    </cfRule>
  </conditionalFormatting>
  <conditionalFormatting sqref="E1855">
    <cfRule type="containsText" dxfId="1188" priority="3023" operator="containsText" text="Pesquisa de Preços">
      <formula>NOT(ISERROR(SEARCH("Pesquisa de Preços",E1855)))</formula>
    </cfRule>
  </conditionalFormatting>
  <conditionalFormatting sqref="E1849">
    <cfRule type="containsText" dxfId="1187" priority="3028" operator="containsText" text="Pesquisa de Preços">
      <formula>NOT(ISERROR(SEARCH("Pesquisa de Preços",E1849)))</formula>
    </cfRule>
  </conditionalFormatting>
  <conditionalFormatting sqref="E1834:E1835 E1839">
    <cfRule type="containsText" dxfId="1186" priority="3027" operator="containsText" text="Pesquisa de Preços">
      <formula>NOT(ISERROR(SEARCH("Pesquisa de Preços",E1834)))</formula>
    </cfRule>
  </conditionalFormatting>
  <conditionalFormatting sqref="E1853:E1854 E1856:E1857">
    <cfRule type="containsText" dxfId="1185" priority="3025" operator="containsText" text="Pesquisa de Preços">
      <formula>NOT(ISERROR(SEARCH("Pesquisa de Preços",E1853)))</formula>
    </cfRule>
  </conditionalFormatting>
  <conditionalFormatting sqref="E2359">
    <cfRule type="containsText" dxfId="1184" priority="2871" operator="containsText" text="Pesquisa de Preços">
      <formula>NOT(ISERROR(SEARCH("Pesquisa de Preços",E2359)))</formula>
    </cfRule>
  </conditionalFormatting>
  <conditionalFormatting sqref="E1863">
    <cfRule type="containsText" dxfId="1183" priority="3022" operator="containsText" text="Pesquisa de Preços">
      <formula>NOT(ISERROR(SEARCH("Pesquisa de Preços",E1863)))</formula>
    </cfRule>
  </conditionalFormatting>
  <conditionalFormatting sqref="E2386">
    <cfRule type="containsText" dxfId="1182" priority="2868" operator="containsText" text="Pesquisa de Preços">
      <formula>NOT(ISERROR(SEARCH("Pesquisa de Preços",E2386)))</formula>
    </cfRule>
  </conditionalFormatting>
  <conditionalFormatting sqref="E1899">
    <cfRule type="containsText" dxfId="1181" priority="3021" operator="containsText" text="Pesquisa de Preços">
      <formula>NOT(ISERROR(SEARCH("Pesquisa de Preços",E1899)))</formula>
    </cfRule>
  </conditionalFormatting>
  <conditionalFormatting sqref="E2380">
    <cfRule type="containsText" dxfId="1180" priority="2866" operator="containsText" text="Pesquisa de Preços">
      <formula>NOT(ISERROR(SEARCH("Pesquisa de Preços",E2380)))</formula>
    </cfRule>
  </conditionalFormatting>
  <conditionalFormatting sqref="E1875">
    <cfRule type="containsText" dxfId="1179" priority="3020" operator="containsText" text="Pesquisa de Preços">
      <formula>NOT(ISERROR(SEARCH("Pesquisa de Preços",E1875)))</formula>
    </cfRule>
  </conditionalFormatting>
  <conditionalFormatting sqref="E1893">
    <cfRule type="containsText" dxfId="1178" priority="3019" operator="containsText" text="Pesquisa de Preços">
      <formula>NOT(ISERROR(SEARCH("Pesquisa de Preços",E1893)))</formula>
    </cfRule>
  </conditionalFormatting>
  <conditionalFormatting sqref="E1869">
    <cfRule type="containsText" dxfId="1177" priority="3018" operator="containsText" text="Pesquisa de Preços">
      <formula>NOT(ISERROR(SEARCH("Pesquisa de Preços",E1869)))</formula>
    </cfRule>
  </conditionalFormatting>
  <conditionalFormatting sqref="E1881">
    <cfRule type="containsText" dxfId="1176" priority="3017" operator="containsText" text="Pesquisa de Preços">
      <formula>NOT(ISERROR(SEARCH("Pesquisa de Preços",E1881)))</formula>
    </cfRule>
  </conditionalFormatting>
  <conditionalFormatting sqref="E1903">
    <cfRule type="containsText" dxfId="1175" priority="3013" operator="containsText" text="Pesquisa de Preços">
      <formula>NOT(ISERROR(SEARCH("Pesquisa de Preços",E1903)))</formula>
    </cfRule>
  </conditionalFormatting>
  <conditionalFormatting sqref="E1887">
    <cfRule type="containsText" dxfId="1174" priority="3016" operator="containsText" text="Pesquisa de Preços">
      <formula>NOT(ISERROR(SEARCH("Pesquisa de Preços",E1887)))</formula>
    </cfRule>
  </conditionalFormatting>
  <conditionalFormatting sqref="E1928 E1931:E1932">
    <cfRule type="containsText" dxfId="1173" priority="3005" operator="containsText" text="Pesquisa de Preços">
      <formula>NOT(ISERROR(SEARCH("Pesquisa de Preços",E1928)))</formula>
    </cfRule>
  </conditionalFormatting>
  <conditionalFormatting sqref="E1901:E1902 E1904:E1905">
    <cfRule type="containsText" dxfId="1172" priority="3015" operator="containsText" text="Pesquisa de Preços">
      <formula>NOT(ISERROR(SEARCH("Pesquisa de Preços",E1901)))</formula>
    </cfRule>
  </conditionalFormatting>
  <conditionalFormatting sqref="E1909">
    <cfRule type="containsText" dxfId="1171" priority="3010" operator="containsText" text="Pesquisa de Preços">
      <formula>NOT(ISERROR(SEARCH("Pesquisa de Preços",E1909)))</formula>
    </cfRule>
  </conditionalFormatting>
  <conditionalFormatting sqref="E1907:E1908 E1910:E1911">
    <cfRule type="containsText" dxfId="1170" priority="3012" operator="containsText" text="Pesquisa de Preços">
      <formula>NOT(ISERROR(SEARCH("Pesquisa de Preços",E1907)))</formula>
    </cfRule>
  </conditionalFormatting>
  <conditionalFormatting sqref="E1923:E1924 E1926">
    <cfRule type="containsText" dxfId="1169" priority="3009" operator="containsText" text="Pesquisa de Preços">
      <formula>NOT(ISERROR(SEARCH("Pesquisa de Preços",E1923)))</formula>
    </cfRule>
  </conditionalFormatting>
  <conditionalFormatting sqref="E1918">
    <cfRule type="containsText" dxfId="1168" priority="3007" operator="containsText" text="Pesquisa de Preços">
      <formula>NOT(ISERROR(SEARCH("Pesquisa de Preços",E1918)))</formula>
    </cfRule>
  </conditionalFormatting>
  <conditionalFormatting sqref="E1949:E1950 E1952:E1953">
    <cfRule type="containsText" dxfId="1167" priority="3003" operator="containsText" text="Pesquisa de Preços">
      <formula>NOT(ISERROR(SEARCH("Pesquisa de Preços",E1949)))</formula>
    </cfRule>
  </conditionalFormatting>
  <conditionalFormatting sqref="E1951">
    <cfRule type="containsText" dxfId="1166" priority="3001" operator="containsText" text="Pesquisa de Preços">
      <formula>NOT(ISERROR(SEARCH("Pesquisa de Preços",E1951)))</formula>
    </cfRule>
  </conditionalFormatting>
  <conditionalFormatting sqref="E1958:E1959">
    <cfRule type="containsText" dxfId="1165" priority="3000" operator="containsText" text="Pesquisa de Preços">
      <formula>NOT(ISERROR(SEARCH("Pesquisa de Preços",E1958)))</formula>
    </cfRule>
  </conditionalFormatting>
  <conditionalFormatting sqref="E1968:E1969 E1972:E1973">
    <cfRule type="containsText" dxfId="1164" priority="2994" operator="containsText" text="Pesquisa de Preços">
      <formula>NOT(ISERROR(SEARCH("Pesquisa de Preços",E1968)))</formula>
    </cfRule>
  </conditionalFormatting>
  <conditionalFormatting sqref="E1970:E1971">
    <cfRule type="containsText" dxfId="1163" priority="2992" operator="containsText" text="Pesquisa de Preços">
      <formula>NOT(ISERROR(SEARCH("Pesquisa de Preços",E1970)))</formula>
    </cfRule>
  </conditionalFormatting>
  <conditionalFormatting sqref="E1983:E1984 E1988:E1989">
    <cfRule type="containsText" dxfId="1162" priority="2999" operator="containsText" text="Pesquisa de Preços">
      <formula>NOT(ISERROR(SEARCH("Pesquisa de Preços",E1983)))</formula>
    </cfRule>
  </conditionalFormatting>
  <conditionalFormatting sqref="E1982">
    <cfRule type="containsText" dxfId="1161" priority="2998" operator="containsText" text="Pesquisa de Preços">
      <formula>NOT(ISERROR(SEARCH("Pesquisa de Preços",E1982)))</formula>
    </cfRule>
  </conditionalFormatting>
  <conditionalFormatting sqref="E1985:E1986">
    <cfRule type="containsText" dxfId="1160" priority="2997" operator="containsText" text="Pesquisa de Preços">
      <formula>NOT(ISERROR(SEARCH("Pesquisa de Preços",E1985)))</formula>
    </cfRule>
  </conditionalFormatting>
  <conditionalFormatting sqref="E1975 E1981">
    <cfRule type="containsText" dxfId="1159" priority="2996" operator="containsText" text="Pesquisa de Preços">
      <formula>NOT(ISERROR(SEARCH("Pesquisa de Preços",E1975)))</formula>
    </cfRule>
  </conditionalFormatting>
  <conditionalFormatting sqref="E1960">
    <cfRule type="containsText" dxfId="1158" priority="2990" operator="containsText" text="Pesquisa de Preços">
      <formula>NOT(ISERROR(SEARCH("Pesquisa de Preços",E1960)))</formula>
    </cfRule>
  </conditionalFormatting>
  <conditionalFormatting sqref="E1961:E1962 E1965:E1966">
    <cfRule type="containsText" dxfId="1157" priority="2991" operator="containsText" text="Pesquisa de Preços">
      <formula>NOT(ISERROR(SEARCH("Pesquisa de Preços",E1961)))</formula>
    </cfRule>
  </conditionalFormatting>
  <conditionalFormatting sqref="E1963:E1964">
    <cfRule type="containsText" dxfId="1156" priority="2989" operator="containsText" text="Pesquisa de Preços">
      <formula>NOT(ISERROR(SEARCH("Pesquisa de Preços",E1963)))</formula>
    </cfRule>
  </conditionalFormatting>
  <conditionalFormatting sqref="E2012 E2017">
    <cfRule type="containsText" dxfId="1155" priority="2988" operator="containsText" text="Pesquisa de Preços">
      <formula>NOT(ISERROR(SEARCH("Pesquisa de Preços",E2012)))</formula>
    </cfRule>
  </conditionalFormatting>
  <conditionalFormatting sqref="E2007:E2008">
    <cfRule type="containsText" dxfId="1154" priority="2984" operator="containsText" text="Pesquisa de Preços">
      <formula>NOT(ISERROR(SEARCH("Pesquisa de Preços",E2007)))</formula>
    </cfRule>
  </conditionalFormatting>
  <conditionalFormatting sqref="E2009:E2010 E2005:E2006">
    <cfRule type="containsText" dxfId="1153" priority="2986" operator="containsText" text="Pesquisa de Preços">
      <formula>NOT(ISERROR(SEARCH("Pesquisa de Preços",E2005)))</formula>
    </cfRule>
  </conditionalFormatting>
  <conditionalFormatting sqref="E2000:E2001">
    <cfRule type="containsText" dxfId="1152" priority="2981" operator="containsText" text="Pesquisa de Preços">
      <formula>NOT(ISERROR(SEARCH("Pesquisa de Preços",E2000)))</formula>
    </cfRule>
  </conditionalFormatting>
  <conditionalFormatting sqref="E2002:E2003 E1998:E1999">
    <cfRule type="containsText" dxfId="1151" priority="2983" operator="containsText" text="Pesquisa de Preços">
      <formula>NOT(ISERROR(SEARCH("Pesquisa de Preços",E1998)))</formula>
    </cfRule>
  </conditionalFormatting>
  <conditionalFormatting sqref="E1991 E1996">
    <cfRule type="containsText" dxfId="1150" priority="2980" operator="containsText" text="Pesquisa de Preços">
      <formula>NOT(ISERROR(SEARCH("Pesquisa de Preços",E1991)))</formula>
    </cfRule>
  </conditionalFormatting>
  <conditionalFormatting sqref="E2136">
    <cfRule type="containsText" dxfId="1149" priority="2977" operator="containsText" text="Pesquisa de Preços">
      <formula>NOT(ISERROR(SEARCH("Pesquisa de Preços",E2136)))</formula>
    </cfRule>
  </conditionalFormatting>
  <conditionalFormatting sqref="E2137:E2138">
    <cfRule type="containsText" dxfId="1148" priority="2978" operator="containsText" text="Pesquisa de Preços">
      <formula>NOT(ISERROR(SEARCH("Pesquisa de Preços",E2137)))</formula>
    </cfRule>
  </conditionalFormatting>
  <conditionalFormatting sqref="E2139:E2140">
    <cfRule type="containsText" dxfId="1147" priority="2976" operator="containsText" text="Pesquisa de Preços">
      <formula>NOT(ISERROR(SEARCH("Pesquisa de Preços",E2139)))</formula>
    </cfRule>
  </conditionalFormatting>
  <conditionalFormatting sqref="E2125:E2126">
    <cfRule type="containsText" dxfId="1146" priority="2975" operator="containsText" text="Pesquisa de Preços">
      <formula>NOT(ISERROR(SEARCH("Pesquisa de Preços",E2125)))</formula>
    </cfRule>
  </conditionalFormatting>
  <conditionalFormatting sqref="E2124">
    <cfRule type="containsText" dxfId="1145" priority="2974" operator="containsText" text="Pesquisa de Preços">
      <formula>NOT(ISERROR(SEARCH("Pesquisa de Preços",E2124)))</formula>
    </cfRule>
  </conditionalFormatting>
  <conditionalFormatting sqref="E2151 E2155:E2157">
    <cfRule type="containsText" dxfId="1144" priority="2972" operator="containsText" text="Pesquisa de Preços">
      <formula>NOT(ISERROR(SEARCH("Pesquisa de Preços",E2151)))</formula>
    </cfRule>
  </conditionalFormatting>
  <conditionalFormatting sqref="E2150">
    <cfRule type="containsText" dxfId="1143" priority="2971" operator="containsText" text="Pesquisa de Preços">
      <formula>NOT(ISERROR(SEARCH("Pesquisa de Preços",E2150)))</formula>
    </cfRule>
  </conditionalFormatting>
  <conditionalFormatting sqref="E2154">
    <cfRule type="containsText" dxfId="1142" priority="2970" operator="containsText" text="Pesquisa de Preços">
      <formula>NOT(ISERROR(SEARCH("Pesquisa de Preços",E2154)))</formula>
    </cfRule>
  </conditionalFormatting>
  <conditionalFormatting sqref="E2167 E2171:E2173">
    <cfRule type="containsText" dxfId="1141" priority="2969" operator="containsText" text="Pesquisa de Preços">
      <formula>NOT(ISERROR(SEARCH("Pesquisa de Preços",E2167)))</formula>
    </cfRule>
  </conditionalFormatting>
  <conditionalFormatting sqref="E2147:E2149">
    <cfRule type="containsText" dxfId="1140" priority="2967" operator="containsText" text="Pesquisa de Preços">
      <formula>NOT(ISERROR(SEARCH("Pesquisa de Preços",E2147)))</formula>
    </cfRule>
  </conditionalFormatting>
  <conditionalFormatting sqref="E2179:E2181">
    <cfRule type="containsText" dxfId="1139" priority="2966" operator="containsText" text="Pesquisa de Preços">
      <formula>NOT(ISERROR(SEARCH("Pesquisa de Preços",E2179)))</formula>
    </cfRule>
  </conditionalFormatting>
  <conditionalFormatting sqref="E2057 E2061:E2063">
    <cfRule type="containsText" dxfId="1138" priority="2961" operator="containsText" text="Pesquisa de Preços">
      <formula>NOT(ISERROR(SEARCH("Pesquisa de Preços",E2057)))</formula>
    </cfRule>
  </conditionalFormatting>
  <conditionalFormatting sqref="E2163:E2165">
    <cfRule type="containsText" dxfId="1137" priority="2965" operator="containsText" text="Pesquisa de Preços">
      <formula>NOT(ISERROR(SEARCH("Pesquisa de Preços",E2163)))</formula>
    </cfRule>
  </conditionalFormatting>
  <conditionalFormatting sqref="E2056">
    <cfRule type="containsText" dxfId="1136" priority="2960" operator="containsText" text="Pesquisa de Preços">
      <formula>NOT(ISERROR(SEARCH("Pesquisa de Preços",E2056)))</formula>
    </cfRule>
  </conditionalFormatting>
  <conditionalFormatting sqref="E2187:E2189">
    <cfRule type="containsText" dxfId="1135" priority="2964" operator="containsText" text="Pesquisa de Preços">
      <formula>NOT(ISERROR(SEARCH("Pesquisa de Preços",E2187)))</formula>
    </cfRule>
  </conditionalFormatting>
  <conditionalFormatting sqref="E2239:E2242 E2244">
    <cfRule type="containsText" dxfId="1134" priority="2920" operator="containsText" text="Pesquisa de Preços">
      <formula>NOT(ISERROR(SEARCH("Pesquisa de Preços",E2239)))</formula>
    </cfRule>
  </conditionalFormatting>
  <conditionalFormatting sqref="E2041 E2045:E2047">
    <cfRule type="containsText" dxfId="1133" priority="2963" operator="containsText" text="Pesquisa de Preços">
      <formula>NOT(ISERROR(SEARCH("Pesquisa de Preços",E2041)))</formula>
    </cfRule>
  </conditionalFormatting>
  <conditionalFormatting sqref="E2049 E2053:E2055">
    <cfRule type="containsText" dxfId="1132" priority="2955" operator="containsText" text="Pesquisa de Preços">
      <formula>NOT(ISERROR(SEARCH("Pesquisa de Preços",E2049)))</formula>
    </cfRule>
  </conditionalFormatting>
  <conditionalFormatting sqref="E2333:E2334 E2337">
    <cfRule type="containsText" dxfId="1131" priority="2913" operator="containsText" text="Pesquisa de Preços">
      <formula>NOT(ISERROR(SEARCH("Pesquisa de Preços",E2333)))</formula>
    </cfRule>
  </conditionalFormatting>
  <conditionalFormatting sqref="E2033 E2037:E2039">
    <cfRule type="containsText" dxfId="1130" priority="2959" operator="containsText" text="Pesquisa de Preços">
      <formula>NOT(ISERROR(SEARCH("Pesquisa de Preços",E2033)))</formula>
    </cfRule>
  </conditionalFormatting>
  <conditionalFormatting sqref="E2032">
    <cfRule type="containsText" dxfId="1129" priority="2958" operator="containsText" text="Pesquisa de Preços">
      <formula>NOT(ISERROR(SEARCH("Pesquisa de Preços",E2032)))</formula>
    </cfRule>
  </conditionalFormatting>
  <conditionalFormatting sqref="E2065 E2069:E2071">
    <cfRule type="containsText" dxfId="1128" priority="2957" operator="containsText" text="Pesquisa de Preços">
      <formula>NOT(ISERROR(SEARCH("Pesquisa de Preços",E2065)))</formula>
    </cfRule>
  </conditionalFormatting>
  <conditionalFormatting sqref="E2064">
    <cfRule type="containsText" dxfId="1127" priority="2956" operator="containsText" text="Pesquisa de Preços">
      <formula>NOT(ISERROR(SEARCH("Pesquisa de Preços",E2064)))</formula>
    </cfRule>
  </conditionalFormatting>
  <conditionalFormatting sqref="E2314:E2315">
    <cfRule type="containsText" dxfId="1126" priority="2919" operator="containsText" text="Pesquisa de Preços">
      <formula>NOT(ISERROR(SEARCH("Pesquisa de Preços",E2314)))</formula>
    </cfRule>
  </conditionalFormatting>
  <conditionalFormatting sqref="E2048">
    <cfRule type="containsText" dxfId="1125" priority="2954" operator="containsText" text="Pesquisa de Preços">
      <formula>NOT(ISERROR(SEARCH("Pesquisa de Preços",E2048)))</formula>
    </cfRule>
  </conditionalFormatting>
  <conditionalFormatting sqref="E2296">
    <cfRule type="containsText" dxfId="1124" priority="2928" operator="containsText" text="Pesquisa de Preços">
      <formula>NOT(ISERROR(SEARCH("Pesquisa de Preços",E2296)))</formula>
    </cfRule>
  </conditionalFormatting>
  <conditionalFormatting sqref="E2073 E2077:E2079">
    <cfRule type="containsText" dxfId="1123" priority="2953" operator="containsText" text="Pesquisa de Preços">
      <formula>NOT(ISERROR(SEARCH("Pesquisa de Preços",E2073)))</formula>
    </cfRule>
  </conditionalFormatting>
  <conditionalFormatting sqref="E2072">
    <cfRule type="containsText" dxfId="1122" priority="2952" operator="containsText" text="Pesquisa de Preços">
      <formula>NOT(ISERROR(SEARCH("Pesquisa de Preços",E2072)))</formula>
    </cfRule>
  </conditionalFormatting>
  <conditionalFormatting sqref="E2251">
    <cfRule type="containsText" dxfId="1121" priority="2932" operator="containsText" text="Pesquisa de Preços">
      <formula>NOT(ISERROR(SEARCH("Pesquisa de Preços",E2251)))</formula>
    </cfRule>
  </conditionalFormatting>
  <conditionalFormatting sqref="E2031">
    <cfRule type="containsText" dxfId="1120" priority="2951" operator="containsText" text="Pesquisa de Preços">
      <formula>NOT(ISERROR(SEARCH("Pesquisa de Preços",E2031)))</formula>
    </cfRule>
  </conditionalFormatting>
  <conditionalFormatting sqref="E2109:E2111">
    <cfRule type="containsText" dxfId="1119" priority="2950" operator="containsText" text="Pesquisa de Preços">
      <formula>NOT(ISERROR(SEARCH("Pesquisa de Preços",E2109)))</formula>
    </cfRule>
  </conditionalFormatting>
  <conditionalFormatting sqref="E2224">
    <cfRule type="containsText" dxfId="1118" priority="2933" operator="containsText" text="Pesquisa de Preços">
      <formula>NOT(ISERROR(SEARCH("Pesquisa de Preços",E2224)))</formula>
    </cfRule>
  </conditionalFormatting>
  <conditionalFormatting sqref="E2101:E2103">
    <cfRule type="containsText" dxfId="1117" priority="2949" operator="containsText" text="Pesquisa de Preços">
      <formula>NOT(ISERROR(SEARCH("Pesquisa de Preços",E2101)))</formula>
    </cfRule>
  </conditionalFormatting>
  <conditionalFormatting sqref="E2216">
    <cfRule type="containsText" dxfId="1116" priority="2938" operator="containsText" text="Pesquisa de Preços">
      <formula>NOT(ISERROR(SEARCH("Pesquisa de Preços",E2216)))</formula>
    </cfRule>
  </conditionalFormatting>
  <conditionalFormatting sqref="E2218">
    <cfRule type="containsText" dxfId="1115" priority="2937" operator="containsText" text="Pesquisa de Preços">
      <formula>NOT(ISERROR(SEARCH("Pesquisa de Preços",E2218)))</formula>
    </cfRule>
  </conditionalFormatting>
  <conditionalFormatting sqref="E2095">
    <cfRule type="containsText" dxfId="1114" priority="2948" operator="containsText" text="Pesquisa de Preços">
      <formula>NOT(ISERROR(SEARCH("Pesquisa de Preços",E2095)))</formula>
    </cfRule>
  </conditionalFormatting>
  <conditionalFormatting sqref="E2021">
    <cfRule type="containsText" dxfId="1113" priority="2945" operator="containsText" text="Pesquisa de Preços">
      <formula>NOT(ISERROR(SEARCH("Pesquisa de Preços",E2021)))</formula>
    </cfRule>
  </conditionalFormatting>
  <conditionalFormatting sqref="E2019:E2020 E2022:E2023">
    <cfRule type="containsText" dxfId="1112" priority="2947" operator="containsText" text="Pesquisa de Preços">
      <formula>NOT(ISERROR(SEARCH("Pesquisa de Preços",E2019)))</formula>
    </cfRule>
  </conditionalFormatting>
  <conditionalFormatting sqref="E2018">
    <cfRule type="containsText" dxfId="1111" priority="2946" operator="containsText" text="Pesquisa de Preços">
      <formula>NOT(ISERROR(SEARCH("Pesquisa de Preços",E2018)))</formula>
    </cfRule>
  </conditionalFormatting>
  <conditionalFormatting sqref="E2113">
    <cfRule type="containsText" dxfId="1110" priority="2944" operator="containsText" text="Pesquisa de Preços">
      <formula>NOT(ISERROR(SEARCH("Pesquisa de Preços",E2113)))</formula>
    </cfRule>
  </conditionalFormatting>
  <conditionalFormatting sqref="E2112">
    <cfRule type="containsText" dxfId="1109" priority="2943" operator="containsText" text="Pesquisa de Preços">
      <formula>NOT(ISERROR(SEARCH("Pesquisa de Preços",E2112)))</formula>
    </cfRule>
  </conditionalFormatting>
  <conditionalFormatting sqref="E2207:E2208">
    <cfRule type="containsText" dxfId="1108" priority="2942" operator="containsText" text="Pesquisa de Preços">
      <formula>NOT(ISERROR(SEARCH("Pesquisa de Preços",E2207)))</formula>
    </cfRule>
  </conditionalFormatting>
  <conditionalFormatting sqref="E2206">
    <cfRule type="containsText" dxfId="1107" priority="2941" operator="containsText" text="Pesquisa de Preços">
      <formula>NOT(ISERROR(SEARCH("Pesquisa de Preços",E2206)))</formula>
    </cfRule>
  </conditionalFormatting>
  <conditionalFormatting sqref="E2212:E2213 E2215">
    <cfRule type="containsText" dxfId="1106" priority="2940" operator="containsText" text="Pesquisa de Preços">
      <formula>NOT(ISERROR(SEARCH("Pesquisa de Preços",E2212)))</formula>
    </cfRule>
  </conditionalFormatting>
  <conditionalFormatting sqref="E2231 E2234:E2235">
    <cfRule type="containsText" dxfId="1105" priority="2936" operator="containsText" text="Pesquisa de Preços">
      <formula>NOT(ISERROR(SEARCH("Pesquisa de Preços",E2231)))</formula>
    </cfRule>
  </conditionalFormatting>
  <conditionalFormatting sqref="E2225 E2228:E2229">
    <cfRule type="containsText" dxfId="1104" priority="2934" operator="containsText" text="Pesquisa de Preços">
      <formula>NOT(ISERROR(SEARCH("Pesquisa de Preços",E2225)))</formula>
    </cfRule>
  </conditionalFormatting>
  <conditionalFormatting sqref="E2297">
    <cfRule type="containsText" dxfId="1103" priority="2929" operator="containsText" text="Pesquisa de Preços">
      <formula>NOT(ISERROR(SEARCH("Pesquisa de Preços",E2297)))</formula>
    </cfRule>
  </conditionalFormatting>
  <conditionalFormatting sqref="E2254">
    <cfRule type="containsText" dxfId="1102" priority="2930" operator="containsText" text="Pesquisa de Preços">
      <formula>NOT(ISERROR(SEARCH("Pesquisa de Preços",E2254)))</formula>
    </cfRule>
  </conditionalFormatting>
  <conditionalFormatting sqref="E2286">
    <cfRule type="containsText" dxfId="1101" priority="2926" operator="containsText" text="Pesquisa de Preços">
      <formula>NOT(ISERROR(SEARCH("Pesquisa de Preços",E2286)))</formula>
    </cfRule>
  </conditionalFormatting>
  <conditionalFormatting sqref="E2287">
    <cfRule type="containsText" dxfId="1100" priority="2927" operator="containsText" text="Pesquisa de Preços">
      <formula>NOT(ISERROR(SEARCH("Pesquisa de Preços",E2287)))</formula>
    </cfRule>
  </conditionalFormatting>
  <conditionalFormatting sqref="E2277 E2285">
    <cfRule type="containsText" dxfId="1099" priority="2924" operator="containsText" text="Pesquisa de Preços">
      <formula>NOT(ISERROR(SEARCH("Pesquisa de Preços",E2277)))</formula>
    </cfRule>
  </conditionalFormatting>
  <conditionalFormatting sqref="E2236">
    <cfRule type="containsText" dxfId="1098" priority="2921" operator="containsText" text="Pesquisa de Preços">
      <formula>NOT(ISERROR(SEARCH("Pesquisa de Preços",E2236)))</formula>
    </cfRule>
  </conditionalFormatting>
  <conditionalFormatting sqref="E2237:E2238">
    <cfRule type="containsText" dxfId="1097" priority="2922" operator="containsText" text="Pesquisa de Preços">
      <formula>NOT(ISERROR(SEARCH("Pesquisa de Preços",E2237)))</formula>
    </cfRule>
  </conditionalFormatting>
  <conditionalFormatting sqref="E2313">
    <cfRule type="containsText" dxfId="1096" priority="2918" operator="containsText" text="Pesquisa de Preços">
      <formula>NOT(ISERROR(SEARCH("Pesquisa de Preços",E2313)))</formula>
    </cfRule>
  </conditionalFormatting>
  <conditionalFormatting sqref="E2318">
    <cfRule type="containsText" dxfId="1095" priority="2917" operator="containsText" text="Pesquisa de Preços">
      <formula>NOT(ISERROR(SEARCH("Pesquisa de Preços",E2318)))</formula>
    </cfRule>
  </conditionalFormatting>
  <conditionalFormatting sqref="E2312">
    <cfRule type="containsText" dxfId="1094" priority="2916" operator="containsText" text="Pesquisa de Preços">
      <formula>NOT(ISERROR(SEARCH("Pesquisa de Preços",E2312)))</formula>
    </cfRule>
  </conditionalFormatting>
  <conditionalFormatting sqref="E2345">
    <cfRule type="containsText" dxfId="1093" priority="2915" operator="containsText" text="Pesquisa de Preços">
      <formula>NOT(ISERROR(SEARCH("Pesquisa de Preços",E2345)))</formula>
    </cfRule>
  </conditionalFormatting>
  <conditionalFormatting sqref="E2344">
    <cfRule type="containsText" dxfId="1092" priority="2914" operator="containsText" text="Pesquisa de Preços">
      <formula>NOT(ISERROR(SEARCH("Pesquisa de Preços",E2344)))</formula>
    </cfRule>
  </conditionalFormatting>
  <conditionalFormatting sqref="E2332">
    <cfRule type="containsText" dxfId="1091" priority="2912" operator="containsText" text="Pesquisa de Preços">
      <formula>NOT(ISERROR(SEARCH("Pesquisa de Preços",E2332)))</formula>
    </cfRule>
  </conditionalFormatting>
  <conditionalFormatting sqref="E2327:E2328 E2331">
    <cfRule type="containsText" dxfId="1090" priority="2911" operator="containsText" text="Pesquisa de Preços">
      <formula>NOT(ISERROR(SEARCH("Pesquisa de Preços",E2327)))</formula>
    </cfRule>
  </conditionalFormatting>
  <conditionalFormatting sqref="E2339:E2340 E2342:E2343">
    <cfRule type="containsText" dxfId="1089" priority="2909" operator="containsText" text="Pesquisa de Preços">
      <formula>NOT(ISERROR(SEARCH("Pesquisa de Preços",E2339)))</formula>
    </cfRule>
  </conditionalFormatting>
  <conditionalFormatting sqref="E2341">
    <cfRule type="containsText" dxfId="1088" priority="2907" operator="containsText" text="Pesquisa de Preços">
      <formula>NOT(ISERROR(SEARCH("Pesquisa de Preços",E2341)))</formula>
    </cfRule>
  </conditionalFormatting>
  <conditionalFormatting sqref="E2321 E2324:E2325">
    <cfRule type="containsText" dxfId="1087" priority="2906" operator="containsText" text="Pesquisa de Preços">
      <formula>NOT(ISERROR(SEARCH("Pesquisa de Preços",E2321)))</formula>
    </cfRule>
  </conditionalFormatting>
  <conditionalFormatting sqref="E2320">
    <cfRule type="containsText" dxfId="1086" priority="2905" operator="containsText" text="Pesquisa de Preços">
      <formula>NOT(ISERROR(SEARCH("Pesquisa de Preços",E2320)))</formula>
    </cfRule>
  </conditionalFormatting>
  <conditionalFormatting sqref="E2323">
    <cfRule type="containsText" dxfId="1085" priority="2904" operator="containsText" text="Pesquisa de Preços">
      <formula>NOT(ISERROR(SEARCH("Pesquisa de Preços",E2323)))</formula>
    </cfRule>
  </conditionalFormatting>
  <conditionalFormatting sqref="E2350:E2353">
    <cfRule type="containsText" dxfId="1084" priority="2903" operator="containsText" text="Pesquisa de Preços">
      <formula>NOT(ISERROR(SEARCH("Pesquisa de Preços",E2350)))</formula>
    </cfRule>
  </conditionalFormatting>
  <conditionalFormatting sqref="E2355 E2357:E2358">
    <cfRule type="containsText" dxfId="1083" priority="2901" operator="containsText" text="Pesquisa de Preços">
      <formula>NOT(ISERROR(SEARCH("Pesquisa de Preços",E2355)))</formula>
    </cfRule>
  </conditionalFormatting>
  <conditionalFormatting sqref="E893:E894 E896:E898">
    <cfRule type="containsText" dxfId="1082" priority="2899" operator="containsText" text="Pesquisa de Preços">
      <formula>NOT(ISERROR(SEARCH("Pesquisa de Preços",E893)))</formula>
    </cfRule>
  </conditionalFormatting>
  <conditionalFormatting sqref="E857:E858">
    <cfRule type="containsText" dxfId="1081" priority="2891" operator="containsText" text="Pesquisa de Preços">
      <formula>NOT(ISERROR(SEARCH("Pesquisa de Preços",E857)))</formula>
    </cfRule>
  </conditionalFormatting>
  <conditionalFormatting sqref="E876 E879:E880">
    <cfRule type="containsText" dxfId="1080" priority="2897" operator="containsText" text="Pesquisa de Preços">
      <formula>NOT(ISERROR(SEARCH("Pesquisa de Preços",E876)))</formula>
    </cfRule>
  </conditionalFormatting>
  <conditionalFormatting sqref="E885:E886">
    <cfRule type="containsText" dxfId="1079" priority="2894" operator="containsText" text="Pesquisa de Preços">
      <formula>NOT(ISERROR(SEARCH("Pesquisa de Preços",E885)))</formula>
    </cfRule>
  </conditionalFormatting>
  <conditionalFormatting sqref="E868">
    <cfRule type="containsText" dxfId="1078" priority="2884" operator="containsText" text="Pesquisa de Preços">
      <formula>NOT(ISERROR(SEARCH("Pesquisa de Preços",E868)))</formula>
    </cfRule>
  </conditionalFormatting>
  <conditionalFormatting sqref="E858:E860">
    <cfRule type="containsText" dxfId="1077" priority="2889" operator="containsText" text="Pesquisa de Preços">
      <formula>NOT(ISERROR(SEARCH("Pesquisa de Preços",E858)))</formula>
    </cfRule>
  </conditionalFormatting>
  <conditionalFormatting sqref="E846:E849">
    <cfRule type="containsText" dxfId="1076" priority="2888" operator="containsText" text="Pesquisa de Preços">
      <formula>NOT(ISERROR(SEARCH("Pesquisa de Preços",E846)))</formula>
    </cfRule>
  </conditionalFormatting>
  <conditionalFormatting sqref="E845">
    <cfRule type="containsText" dxfId="1075" priority="2887" operator="containsText" text="Pesquisa de Preços">
      <formula>NOT(ISERROR(SEARCH("Pesquisa de Preços",E845)))</formula>
    </cfRule>
  </conditionalFormatting>
  <conditionalFormatting sqref="E851 E854:E855">
    <cfRule type="containsText" dxfId="1074" priority="2886" operator="containsText" text="Pesquisa de Preços">
      <formula>NOT(ISERROR(SEARCH("Pesquisa de Preços",E851)))</formula>
    </cfRule>
  </conditionalFormatting>
  <conditionalFormatting sqref="E867">
    <cfRule type="containsText" dxfId="1073" priority="2883" operator="containsText" text="Pesquisa de Preços">
      <formula>NOT(ISERROR(SEARCH("Pesquisa de Preços",E867)))</formula>
    </cfRule>
  </conditionalFormatting>
  <conditionalFormatting sqref="E863">
    <cfRule type="containsText" dxfId="1072" priority="2882" operator="containsText" text="Pesquisa de Preços">
      <formula>NOT(ISERROR(SEARCH("Pesquisa de Preços",E863)))</formula>
    </cfRule>
  </conditionalFormatting>
  <conditionalFormatting sqref="E862">
    <cfRule type="containsText" dxfId="1071" priority="2881" operator="containsText" text="Pesquisa de Preços">
      <formula>NOT(ISERROR(SEARCH("Pesquisa de Preços",E862)))</formula>
    </cfRule>
  </conditionalFormatting>
  <conditionalFormatting sqref="E888:E889">
    <cfRule type="containsText" dxfId="1070" priority="2880" operator="containsText" text="Pesquisa de Preços">
      <formula>NOT(ISERROR(SEARCH("Pesquisa de Preços",E888)))</formula>
    </cfRule>
  </conditionalFormatting>
  <conditionalFormatting sqref="E887">
    <cfRule type="containsText" dxfId="1069" priority="2879" operator="containsText" text="Pesquisa de Preços">
      <formula>NOT(ISERROR(SEARCH("Pesquisa de Preços",E887)))</formula>
    </cfRule>
  </conditionalFormatting>
  <conditionalFormatting sqref="E900:E901">
    <cfRule type="containsText" dxfId="1068" priority="2878" operator="containsText" text="Pesquisa de Preços">
      <formula>NOT(ISERROR(SEARCH("Pesquisa de Preços",E900)))</formula>
    </cfRule>
  </conditionalFormatting>
  <conditionalFormatting sqref="E899">
    <cfRule type="containsText" dxfId="1067" priority="2877" operator="containsText" text="Pesquisa de Preços">
      <formula>NOT(ISERROR(SEARCH("Pesquisa de Preços",E899)))</formula>
    </cfRule>
  </conditionalFormatting>
  <conditionalFormatting sqref="E2366:E2367">
    <cfRule type="containsText" dxfId="1066" priority="2876" operator="containsText" text="Pesquisa de Preços">
      <formula>NOT(ISERROR(SEARCH("Pesquisa de Preços",E2366)))</formula>
    </cfRule>
  </conditionalFormatting>
  <conditionalFormatting sqref="E2365">
    <cfRule type="containsText" dxfId="1065" priority="2875" operator="containsText" text="Pesquisa de Preços">
      <formula>NOT(ISERROR(SEARCH("Pesquisa de Preços",E2365)))</formula>
    </cfRule>
  </conditionalFormatting>
  <conditionalFormatting sqref="E2374 E2377 E2379">
    <cfRule type="containsText" dxfId="1064" priority="2874" operator="containsText" text="Pesquisa de Preços">
      <formula>NOT(ISERROR(SEARCH("Pesquisa de Preços",E2374)))</formula>
    </cfRule>
  </conditionalFormatting>
  <conditionalFormatting sqref="E2373">
    <cfRule type="containsText" dxfId="1063" priority="2873" operator="containsText" text="Pesquisa de Preços">
      <formula>NOT(ISERROR(SEARCH("Pesquisa de Preços",E2373)))</formula>
    </cfRule>
  </conditionalFormatting>
  <conditionalFormatting sqref="E2360:E2361 E2363:E2364">
    <cfRule type="containsText" dxfId="1062" priority="2872" operator="containsText" text="Pesquisa de Preços">
      <formula>NOT(ISERROR(SEARCH("Pesquisa de Preços",E2360)))</formula>
    </cfRule>
  </conditionalFormatting>
  <conditionalFormatting sqref="E2387 E2392">
    <cfRule type="containsText" dxfId="1061" priority="2869" operator="containsText" text="Pesquisa de Preços">
      <formula>NOT(ISERROR(SEARCH("Pesquisa de Preços",E2387)))</formula>
    </cfRule>
  </conditionalFormatting>
  <conditionalFormatting sqref="E2362">
    <cfRule type="containsText" dxfId="1060" priority="2870" operator="containsText" text="Pesquisa de Preços">
      <formula>NOT(ISERROR(SEARCH("Pesquisa de Preços",E2362)))</formula>
    </cfRule>
  </conditionalFormatting>
  <conditionalFormatting sqref="E2381">
    <cfRule type="containsText" dxfId="1059" priority="2867" operator="containsText" text="Pesquisa de Preços">
      <formula>NOT(ISERROR(SEARCH("Pesquisa de Preços",E2381)))</formula>
    </cfRule>
  </conditionalFormatting>
  <conditionalFormatting sqref="E1770:E1771 E1774:E1775">
    <cfRule type="containsText" dxfId="1058" priority="2865" operator="containsText" text="Pesquisa de Preços">
      <formula>NOT(ISERROR(SEARCH("Pesquisa de Preços",E1770)))</formula>
    </cfRule>
  </conditionalFormatting>
  <conditionalFormatting sqref="E1769">
    <cfRule type="containsText" dxfId="1057" priority="2864" operator="containsText" text="Pesquisa de Preços">
      <formula>NOT(ISERROR(SEARCH("Pesquisa de Preços",E1769)))</formula>
    </cfRule>
  </conditionalFormatting>
  <conditionalFormatting sqref="E1742">
    <cfRule type="containsText" dxfId="1056" priority="2791" operator="containsText" text="Pesquisa de Preços">
      <formula>NOT(ISERROR(SEARCH("Pesquisa de Preços",E1742)))</formula>
    </cfRule>
  </conditionalFormatting>
  <conditionalFormatting sqref="E1772:E1773">
    <cfRule type="containsText" dxfId="1055" priority="2863" operator="containsText" text="Pesquisa de Preços">
      <formula>NOT(ISERROR(SEARCH("Pesquisa de Preços",E1772)))</formula>
    </cfRule>
  </conditionalFormatting>
  <conditionalFormatting sqref="E1784:E1785 E1788:E1789">
    <cfRule type="containsText" dxfId="1054" priority="2862" operator="containsText" text="Pesquisa de Preços">
      <formula>NOT(ISERROR(SEARCH("Pesquisa de Preços",E1784)))</formula>
    </cfRule>
  </conditionalFormatting>
  <conditionalFormatting sqref="E1783">
    <cfRule type="containsText" dxfId="1053" priority="2861" operator="containsText" text="Pesquisa de Preços">
      <formula>NOT(ISERROR(SEARCH("Pesquisa de Preços",E1783)))</formula>
    </cfRule>
  </conditionalFormatting>
  <conditionalFormatting sqref="E1786:E1787">
    <cfRule type="containsText" dxfId="1052" priority="2860" operator="containsText" text="Pesquisa de Preços">
      <formula>NOT(ISERROR(SEARCH("Pesquisa de Preços",E1786)))</formula>
    </cfRule>
  </conditionalFormatting>
  <conditionalFormatting sqref="E1798:E1799 E1802:E1803">
    <cfRule type="containsText" dxfId="1051" priority="2859" operator="containsText" text="Pesquisa de Preços">
      <formula>NOT(ISERROR(SEARCH("Pesquisa de Preços",E1798)))</formula>
    </cfRule>
  </conditionalFormatting>
  <conditionalFormatting sqref="E1797">
    <cfRule type="containsText" dxfId="1050" priority="2858" operator="containsText" text="Pesquisa de Preços">
      <formula>NOT(ISERROR(SEARCH("Pesquisa de Preços",E1797)))</formula>
    </cfRule>
  </conditionalFormatting>
  <conditionalFormatting sqref="E1800:E1801">
    <cfRule type="containsText" dxfId="1049" priority="2857" operator="containsText" text="Pesquisa de Preços">
      <formula>NOT(ISERROR(SEARCH("Pesquisa de Preços",E1800)))</formula>
    </cfRule>
  </conditionalFormatting>
  <conditionalFormatting sqref="E1756:E1757 E1760:E1761">
    <cfRule type="containsText" dxfId="1048" priority="2856" operator="containsText" text="Pesquisa de Preços">
      <formula>NOT(ISERROR(SEARCH("Pesquisa de Preços",E1756)))</formula>
    </cfRule>
  </conditionalFormatting>
  <conditionalFormatting sqref="E1755">
    <cfRule type="containsText" dxfId="1047" priority="2855" operator="containsText" text="Pesquisa de Preços">
      <formula>NOT(ISERROR(SEARCH("Pesquisa de Preços",E1755)))</formula>
    </cfRule>
  </conditionalFormatting>
  <conditionalFormatting sqref="E1758:E1759">
    <cfRule type="containsText" dxfId="1046" priority="2854" operator="containsText" text="Pesquisa de Preços">
      <formula>NOT(ISERROR(SEARCH("Pesquisa de Preços",E1758)))</formula>
    </cfRule>
  </conditionalFormatting>
  <conditionalFormatting sqref="E1763:E1764 E1767:E1768">
    <cfRule type="containsText" dxfId="1045" priority="2853" operator="containsText" text="Pesquisa de Preços">
      <formula>NOT(ISERROR(SEARCH("Pesquisa de Preços",E1763)))</formula>
    </cfRule>
  </conditionalFormatting>
  <conditionalFormatting sqref="E1762">
    <cfRule type="containsText" dxfId="1044" priority="2852" operator="containsText" text="Pesquisa de Preços">
      <formula>NOT(ISERROR(SEARCH("Pesquisa de Preços",E1762)))</formula>
    </cfRule>
  </conditionalFormatting>
  <conditionalFormatting sqref="E590 E594">
    <cfRule type="containsText" dxfId="1043" priority="2790" operator="containsText" text="Pesquisa de Preços">
      <formula>NOT(ISERROR(SEARCH("Pesquisa de Preços",E590)))</formula>
    </cfRule>
  </conditionalFormatting>
  <conditionalFormatting sqref="E1765:E1766">
    <cfRule type="containsText" dxfId="1042" priority="2851" operator="containsText" text="Pesquisa de Preços">
      <formula>NOT(ISERROR(SEARCH("Pesquisa de Preços",E1765)))</formula>
    </cfRule>
  </conditionalFormatting>
  <conditionalFormatting sqref="E1777 E1782">
    <cfRule type="containsText" dxfId="1041" priority="2850" operator="containsText" text="Pesquisa de Preços">
      <formula>NOT(ISERROR(SEARCH("Pesquisa de Preços",E1777)))</formula>
    </cfRule>
  </conditionalFormatting>
  <conditionalFormatting sqref="E1776">
    <cfRule type="containsText" dxfId="1040" priority="2849" operator="containsText" text="Pesquisa de Preços">
      <formula>NOT(ISERROR(SEARCH("Pesquisa de Preços",E1776)))</formula>
    </cfRule>
  </conditionalFormatting>
  <conditionalFormatting sqref="E380">
    <cfRule type="containsText" dxfId="1039" priority="2787" operator="containsText" text="Pesquisa de Preços">
      <formula>NOT(ISERROR(SEARCH("Pesquisa de Preços",E380)))</formula>
    </cfRule>
  </conditionalFormatting>
  <conditionalFormatting sqref="E1796">
    <cfRule type="containsText" dxfId="1038" priority="2848" operator="containsText" text="Pesquisa de Preços">
      <formula>NOT(ISERROR(SEARCH("Pesquisa de Preços",E1796)))</formula>
    </cfRule>
  </conditionalFormatting>
  <conditionalFormatting sqref="E1170">
    <cfRule type="containsText" dxfId="1037" priority="2847" operator="containsText" text="Pesquisa de Preços">
      <formula>NOT(ISERROR(SEARCH("Pesquisa de Preços",E1170)))</formula>
    </cfRule>
  </conditionalFormatting>
  <conditionalFormatting sqref="E1980">
    <cfRule type="containsText" dxfId="1036" priority="2845" operator="containsText" text="Pesquisa de Preços">
      <formula>NOT(ISERROR(SEARCH("Pesquisa de Preços",E1980)))</formula>
    </cfRule>
  </conditionalFormatting>
  <conditionalFormatting sqref="E1977:E1978">
    <cfRule type="containsText" dxfId="1035" priority="2844" operator="containsText" text="Pesquisa de Preços">
      <formula>NOT(ISERROR(SEARCH("Pesquisa de Preços",E1977)))</formula>
    </cfRule>
  </conditionalFormatting>
  <conditionalFormatting sqref="E2013 E2016">
    <cfRule type="containsText" dxfId="1034" priority="2843" operator="containsText" text="Pesquisa de Preços">
      <formula>NOT(ISERROR(SEARCH("Pesquisa de Preços",E2013)))</formula>
    </cfRule>
  </conditionalFormatting>
  <conditionalFormatting sqref="E2014:E2015">
    <cfRule type="containsText" dxfId="1033" priority="2842" operator="containsText" text="Pesquisa de Preços">
      <formula>NOT(ISERROR(SEARCH("Pesquisa de Preços",E2014)))</formula>
    </cfRule>
  </conditionalFormatting>
  <conditionalFormatting sqref="E1992 E1995">
    <cfRule type="containsText" dxfId="1032" priority="2841" operator="containsText" text="Pesquisa de Preços">
      <formula>NOT(ISERROR(SEARCH("Pesquisa de Preços",E1992)))</formula>
    </cfRule>
  </conditionalFormatting>
  <conditionalFormatting sqref="E1993:E1994">
    <cfRule type="containsText" dxfId="1031" priority="2840" operator="containsText" text="Pesquisa de Preços">
      <formula>NOT(ISERROR(SEARCH("Pesquisa de Preços",E1993)))</formula>
    </cfRule>
  </conditionalFormatting>
  <conditionalFormatting sqref="E2093:E2094">
    <cfRule type="containsText" dxfId="1030" priority="2839" operator="containsText" text="Pesquisa de Preços">
      <formula>NOT(ISERROR(SEARCH("Pesquisa de Preços",E2093)))</formula>
    </cfRule>
  </conditionalFormatting>
  <conditionalFormatting sqref="E2029:E2030">
    <cfRule type="containsText" dxfId="1029" priority="2838" operator="containsText" text="Pesquisa de Preços">
      <formula>NOT(ISERROR(SEARCH("Pesquisa de Preços",E2029)))</formula>
    </cfRule>
  </conditionalFormatting>
  <conditionalFormatting sqref="E829">
    <cfRule type="containsText" dxfId="1028" priority="2770" operator="containsText" text="Pesquisa de Preços">
      <formula>NOT(ISERROR(SEARCH("Pesquisa de Preços",E829)))</formula>
    </cfRule>
  </conditionalFormatting>
  <conditionalFormatting sqref="E830">
    <cfRule type="containsText" dxfId="1027" priority="2769" operator="containsText" text="Pesquisa de Preços">
      <formula>NOT(ISERROR(SEARCH("Pesquisa de Preços",E830)))</formula>
    </cfRule>
  </conditionalFormatting>
  <conditionalFormatting sqref="E94:E95">
    <cfRule type="containsText" dxfId="1026" priority="2764" operator="containsText" text="Pesquisa de Preços">
      <formula>NOT(ISERROR(SEARCH("Pesquisa de Preços",E94)))</formula>
    </cfRule>
  </conditionalFormatting>
  <conditionalFormatting sqref="E207">
    <cfRule type="containsText" dxfId="1025" priority="2762" operator="containsText" text="Pesquisa de Preços">
      <formula>NOT(ISERROR(SEARCH("Pesquisa de Preços",E207)))</formula>
    </cfRule>
  </conditionalFormatting>
  <conditionalFormatting sqref="E1635">
    <cfRule type="containsText" dxfId="1024" priority="2760" operator="containsText" text="Pesquisa de Preços">
      <formula>NOT(ISERROR(SEARCH("Pesquisa de Preços",E1635)))</formula>
    </cfRule>
  </conditionalFormatting>
  <conditionalFormatting sqref="E1611">
    <cfRule type="containsText" dxfId="1023" priority="2758" operator="containsText" text="Pesquisa de Preços">
      <formula>NOT(ISERROR(SEARCH("Pesquisa de Preços",E1611)))</formula>
    </cfRule>
  </conditionalFormatting>
  <conditionalFormatting sqref="E1687">
    <cfRule type="containsText" dxfId="1022" priority="2757" operator="containsText" text="Pesquisa de Preços">
      <formula>NOT(ISERROR(SEARCH("Pesquisa de Preços",E1687)))</formula>
    </cfRule>
  </conditionalFormatting>
  <conditionalFormatting sqref="E54">
    <cfRule type="containsText" dxfId="1021" priority="2820" operator="containsText" text="Pesquisa de Preços">
      <formula>NOT(ISERROR(SEARCH("Pesquisa de Preços",E54)))</formula>
    </cfRule>
  </conditionalFormatting>
  <conditionalFormatting sqref="E206">
    <cfRule type="containsText" dxfId="1020" priority="2837" operator="containsText" text="Pesquisa de Preços">
      <formula>NOT(ISERROR(SEARCH("Pesquisa de Preços",E206)))</formula>
    </cfRule>
  </conditionalFormatting>
  <conditionalFormatting sqref="E205">
    <cfRule type="containsText" dxfId="1019" priority="2836" operator="containsText" text="Pesquisa de Preços">
      <formula>NOT(ISERROR(SEARCH("Pesquisa de Preços",E205)))</formula>
    </cfRule>
  </conditionalFormatting>
  <conditionalFormatting sqref="E103:E104">
    <cfRule type="containsText" dxfId="1018" priority="2835" operator="containsText" text="Pesquisa de Preços">
      <formula>NOT(ISERROR(SEARCH("Pesquisa de Preços",E103)))</formula>
    </cfRule>
  </conditionalFormatting>
  <conditionalFormatting sqref="E102">
    <cfRule type="containsText" dxfId="1017" priority="2834" operator="containsText" text="Pesquisa de Preços">
      <formula>NOT(ISERROR(SEARCH("Pesquisa de Preços",E102)))</formula>
    </cfRule>
  </conditionalFormatting>
  <conditionalFormatting sqref="E423:E424">
    <cfRule type="containsText" dxfId="1016" priority="2833" operator="containsText" text="Pesquisa de Preços">
      <formula>NOT(ISERROR(SEARCH("Pesquisa de Preços",E423)))</formula>
    </cfRule>
  </conditionalFormatting>
  <conditionalFormatting sqref="E422">
    <cfRule type="containsText" dxfId="1015" priority="2832" operator="containsText" text="Pesquisa de Preços">
      <formula>NOT(ISERROR(SEARCH("Pesquisa de Preços",E422)))</formula>
    </cfRule>
  </conditionalFormatting>
  <conditionalFormatting sqref="E425:E427">
    <cfRule type="containsText" dxfId="1014" priority="2831" operator="containsText" text="Pesquisa de Preços">
      <formula>NOT(ISERROR(SEARCH("Pesquisa de Preços",E425)))</formula>
    </cfRule>
  </conditionalFormatting>
  <conditionalFormatting sqref="E616 E620">
    <cfRule type="containsText" dxfId="1013" priority="2830" operator="containsText" text="Pesquisa de Preços">
      <formula>NOT(ISERROR(SEARCH("Pesquisa de Preços",E616)))</formula>
    </cfRule>
  </conditionalFormatting>
  <conditionalFormatting sqref="E615">
    <cfRule type="containsText" dxfId="1012" priority="2829" operator="containsText" text="Pesquisa de Preços">
      <formula>NOT(ISERROR(SEARCH("Pesquisa de Preços",E615)))</formula>
    </cfRule>
  </conditionalFormatting>
  <conditionalFormatting sqref="E589 E595">
    <cfRule type="containsText" dxfId="1011" priority="2828" operator="containsText" text="Pesquisa de Preços">
      <formula>NOT(ISERROR(SEARCH("Pesquisa de Preços",E589)))</formula>
    </cfRule>
  </conditionalFormatting>
  <conditionalFormatting sqref="E588">
    <cfRule type="containsText" dxfId="1010" priority="2827" operator="containsText" text="Pesquisa de Preços">
      <formula>NOT(ISERROR(SEARCH("Pesquisa de Preços",E588)))</formula>
    </cfRule>
  </conditionalFormatting>
  <conditionalFormatting sqref="E638:E639 E642:E643">
    <cfRule type="containsText" dxfId="1009" priority="2826" operator="containsText" text="Pesquisa de Preços">
      <formula>NOT(ISERROR(SEARCH("Pesquisa de Preços",E638)))</formula>
    </cfRule>
  </conditionalFormatting>
  <conditionalFormatting sqref="E637">
    <cfRule type="containsText" dxfId="1008" priority="2825" operator="containsText" text="Pesquisa de Preços">
      <formula>NOT(ISERROR(SEARCH("Pesquisa de Preços",E637)))</formula>
    </cfRule>
  </conditionalFormatting>
  <conditionalFormatting sqref="E640:E641">
    <cfRule type="containsText" dxfId="1007" priority="2824" operator="containsText" text="Pesquisa de Preços">
      <formula>NOT(ISERROR(SEARCH("Pesquisa de Preços",E640)))</formula>
    </cfRule>
  </conditionalFormatting>
  <conditionalFormatting sqref="E226">
    <cfRule type="containsText" dxfId="1006" priority="2823" operator="containsText" text="Pesquisa de Preços">
      <formula>NOT(ISERROR(SEARCH("Pesquisa de Preços",E226)))</formula>
    </cfRule>
  </conditionalFormatting>
  <conditionalFormatting sqref="E151:E152">
    <cfRule type="containsText" dxfId="1005" priority="2822" operator="containsText" text="Pesquisa de Preços">
      <formula>NOT(ISERROR(SEARCH("Pesquisa de Preços",E151)))</formula>
    </cfRule>
  </conditionalFormatting>
  <conditionalFormatting sqref="E163:E164">
    <cfRule type="containsText" dxfId="1004" priority="2821" operator="containsText" text="Pesquisa de Preços">
      <formula>NOT(ISERROR(SEARCH("Pesquisa de Preços",E163)))</formula>
    </cfRule>
  </conditionalFormatting>
  <conditionalFormatting sqref="E55:E57">
    <cfRule type="containsText" dxfId="1003" priority="2819" operator="containsText" text="Pesquisa de Preços">
      <formula>NOT(ISERROR(SEARCH("Pesquisa de Preços",E55)))</formula>
    </cfRule>
  </conditionalFormatting>
  <conditionalFormatting sqref="E30:E31">
    <cfRule type="containsText" dxfId="1002" priority="2818" operator="containsText" text="Pesquisa de Preços">
      <formula>NOT(ISERROR(SEARCH("Pesquisa de Preços",E30)))</formula>
    </cfRule>
  </conditionalFormatting>
  <conditionalFormatting sqref="E25:E26">
    <cfRule type="containsText" dxfId="1001" priority="2817" operator="containsText" text="Pesquisa de Preços">
      <formula>NOT(ISERROR(SEARCH("Pesquisa de Preços",E25)))</formula>
    </cfRule>
  </conditionalFormatting>
  <conditionalFormatting sqref="E181">
    <cfRule type="containsText" dxfId="1000" priority="2816" operator="containsText" text="Pesquisa de Preços">
      <formula>NOT(ISERROR(SEARCH("Pesquisa de Preços",E181)))</formula>
    </cfRule>
  </conditionalFormatting>
  <conditionalFormatting sqref="E128:E129">
    <cfRule type="containsText" dxfId="999" priority="2815" operator="containsText" text="Pesquisa de Preços">
      <formula>NOT(ISERROR(SEARCH("Pesquisa de Preços",E128)))</formula>
    </cfRule>
  </conditionalFormatting>
  <conditionalFormatting sqref="E1920">
    <cfRule type="containsText" dxfId="998" priority="2740" operator="containsText" text="Pesquisa de Preços">
      <formula>NOT(ISERROR(SEARCH("Pesquisa de Preços",E1920)))</formula>
    </cfRule>
  </conditionalFormatting>
  <conditionalFormatting sqref="E84">
    <cfRule type="containsText" dxfId="997" priority="2814" operator="containsText" text="Pesquisa de Preços">
      <formula>NOT(ISERROR(SEARCH("Pesquisa de Preços",E84)))</formula>
    </cfRule>
  </conditionalFormatting>
  <conditionalFormatting sqref="E85">
    <cfRule type="containsText" dxfId="996" priority="2813" operator="containsText" text="Pesquisa de Preços">
      <formula>NOT(ISERROR(SEARCH("Pesquisa de Preços",E85)))</formula>
    </cfRule>
  </conditionalFormatting>
  <conditionalFormatting sqref="E61">
    <cfRule type="containsText" dxfId="995" priority="2812" operator="containsText" text="Pesquisa de Preços">
      <formula>NOT(ISERROR(SEARCH("Pesquisa de Preços",E61)))</formula>
    </cfRule>
  </conditionalFormatting>
  <conditionalFormatting sqref="E62">
    <cfRule type="containsText" dxfId="994" priority="2811" operator="containsText" text="Pesquisa de Preços">
      <formula>NOT(ISERROR(SEARCH("Pesquisa de Preços",E62)))</formula>
    </cfRule>
  </conditionalFormatting>
  <conditionalFormatting sqref="E2346">
    <cfRule type="containsText" dxfId="993" priority="2737" operator="containsText" text="Pesquisa de Preços">
      <formula>NOT(ISERROR(SEARCH("Pesquisa de Preços",E2346)))</formula>
    </cfRule>
  </conditionalFormatting>
  <conditionalFormatting sqref="E44:E45">
    <cfRule type="containsText" dxfId="992" priority="2810" operator="containsText" text="Pesquisa de Preços">
      <formula>NOT(ISERROR(SEARCH("Pesquisa de Preços",E44)))</formula>
    </cfRule>
  </conditionalFormatting>
  <conditionalFormatting sqref="E311">
    <cfRule type="containsText" dxfId="991" priority="2809" operator="containsText" text="Pesquisa de Preços">
      <formula>NOT(ISERROR(SEARCH("Pesquisa de Preços",E311)))</formula>
    </cfRule>
  </conditionalFormatting>
  <conditionalFormatting sqref="E297">
    <cfRule type="containsText" dxfId="990" priority="2808" operator="containsText" text="Pesquisa de Preços">
      <formula>NOT(ISERROR(SEARCH("Pesquisa de Preços",E297)))</formula>
    </cfRule>
  </conditionalFormatting>
  <conditionalFormatting sqref="E457">
    <cfRule type="containsText" dxfId="989" priority="2807" operator="containsText" text="Pesquisa de Preços">
      <formula>NOT(ISERROR(SEARCH("Pesquisa de Preços",E457)))</formula>
    </cfRule>
  </conditionalFormatting>
  <conditionalFormatting sqref="E500:E501">
    <cfRule type="containsText" dxfId="988" priority="2804" operator="containsText" text="Pesquisa de Preços">
      <formula>NOT(ISERROR(SEARCH("Pesquisa de Preços",E500)))</formula>
    </cfRule>
  </conditionalFormatting>
  <conditionalFormatting sqref="E467">
    <cfRule type="containsText" dxfId="987" priority="2806" operator="containsText" text="Pesquisa de Preços">
      <formula>NOT(ISERROR(SEARCH("Pesquisa de Preços",E467)))</formula>
    </cfRule>
  </conditionalFormatting>
  <conditionalFormatting sqref="E499 E502">
    <cfRule type="containsText" dxfId="986" priority="2805" operator="containsText" text="Pesquisa de Preços">
      <formula>NOT(ISERROR(SEARCH("Pesquisa de Preços",E499)))</formula>
    </cfRule>
  </conditionalFormatting>
  <conditionalFormatting sqref="E623">
    <cfRule type="containsText" dxfId="985" priority="2803" operator="containsText" text="Pesquisa de Preços">
      <formula>NOT(ISERROR(SEARCH("Pesquisa de Preços",E623)))</formula>
    </cfRule>
  </conditionalFormatting>
  <conditionalFormatting sqref="E624:E626">
    <cfRule type="containsText" dxfId="984" priority="2802" operator="containsText" text="Pesquisa de Preços">
      <formula>NOT(ISERROR(SEARCH("Pesquisa de Preços",E624)))</formula>
    </cfRule>
  </conditionalFormatting>
  <conditionalFormatting sqref="E993">
    <cfRule type="containsText" dxfId="983" priority="2801" operator="containsText" text="Pesquisa de Preços">
      <formula>NOT(ISERROR(SEARCH("Pesquisa de Preços",E993)))</formula>
    </cfRule>
  </conditionalFormatting>
  <conditionalFormatting sqref="E614">
    <cfRule type="containsText" dxfId="982" priority="2785" operator="containsText" text="Pesquisa de Preços">
      <formula>NOT(ISERROR(SEARCH("Pesquisa de Preços",E614)))</formula>
    </cfRule>
  </conditionalFormatting>
  <conditionalFormatting sqref="E737">
    <cfRule type="containsText" dxfId="981" priority="2784" operator="containsText" text="Pesquisa de Preços">
      <formula>NOT(ISERROR(SEARCH("Pesquisa de Preços",E737)))</formula>
    </cfRule>
  </conditionalFormatting>
  <conditionalFormatting sqref="E1497">
    <cfRule type="containsText" dxfId="980" priority="2798" operator="containsText" text="Pesquisa de Preços">
      <formula>NOT(ISERROR(SEARCH("Pesquisa de Preços",E1497)))</formula>
    </cfRule>
  </conditionalFormatting>
  <conditionalFormatting sqref="E591:E593">
    <cfRule type="containsText" dxfId="979" priority="2789" operator="containsText" text="Pesquisa de Preços">
      <formula>NOT(ISERROR(SEARCH("Pesquisa de Preços",E591)))</formula>
    </cfRule>
  </conditionalFormatting>
  <conditionalFormatting sqref="E1624:E1625">
    <cfRule type="containsText" dxfId="978" priority="2794" operator="containsText" text="Pesquisa de Preços">
      <formula>NOT(ISERROR(SEARCH("Pesquisa de Preços",E1624)))</formula>
    </cfRule>
  </conditionalFormatting>
  <conditionalFormatting sqref="E1629">
    <cfRule type="containsText" dxfId="977" priority="2797" operator="containsText" text="Pesquisa de Preços">
      <formula>NOT(ISERROR(SEARCH("Pesquisa de Preços",E1629)))</formula>
    </cfRule>
  </conditionalFormatting>
  <conditionalFormatting sqref="E1630:E1631">
    <cfRule type="containsText" dxfId="976" priority="2796" operator="containsText" text="Pesquisa de Preços">
      <formula>NOT(ISERROR(SEARCH("Pesquisa de Preços",E1630)))</formula>
    </cfRule>
  </conditionalFormatting>
  <conditionalFormatting sqref="E1623">
    <cfRule type="containsText" dxfId="975" priority="2795" operator="containsText" text="Pesquisa de Preços">
      <formula>NOT(ISERROR(SEARCH("Pesquisa de Preços",E1623)))</formula>
    </cfRule>
  </conditionalFormatting>
  <conditionalFormatting sqref="E1746">
    <cfRule type="containsText" dxfId="974" priority="2793" operator="containsText" text="Pesquisa de Preços">
      <formula>NOT(ISERROR(SEARCH("Pesquisa de Preços",E1746)))</formula>
    </cfRule>
  </conditionalFormatting>
  <conditionalFormatting sqref="E381">
    <cfRule type="containsText" dxfId="973" priority="2788" operator="containsText" text="Pesquisa de Preços">
      <formula>NOT(ISERROR(SEARCH("Pesquisa de Preços",E381)))</formula>
    </cfRule>
  </conditionalFormatting>
  <conditionalFormatting sqref="E1067:E1068">
    <cfRule type="containsText" dxfId="972" priority="2710" operator="containsText" text="Pesquisa de Preços">
      <formula>NOT(ISERROR(SEARCH("Pesquisa de Preços",E1067)))</formula>
    </cfRule>
  </conditionalFormatting>
  <conditionalFormatting sqref="E605">
    <cfRule type="containsText" dxfId="971" priority="2786" operator="containsText" text="Pesquisa de Preços">
      <formula>NOT(ISERROR(SEARCH("Pesquisa de Preços",E605)))</formula>
    </cfRule>
  </conditionalFormatting>
  <conditionalFormatting sqref="E1080:E1084">
    <cfRule type="containsText" dxfId="970" priority="2709" operator="containsText" text="Pesquisa de Preços">
      <formula>NOT(ISERROR(SEARCH("Pesquisa de Preços",E1080)))</formula>
    </cfRule>
  </conditionalFormatting>
  <conditionalFormatting sqref="E736">
    <cfRule type="containsText" dxfId="969" priority="2783" operator="containsText" text="Pesquisa de Preços">
      <formula>NOT(ISERROR(SEARCH("Pesquisa de Preços",E736)))</formula>
    </cfRule>
  </conditionalFormatting>
  <conditionalFormatting sqref="E631">
    <cfRule type="containsText" dxfId="968" priority="2780" operator="containsText" text="Pesquisa de Preços">
      <formula>NOT(ISERROR(SEARCH("Pesquisa de Preços",E631)))</formula>
    </cfRule>
  </conditionalFormatting>
  <conditionalFormatting sqref="E630 E635:E636">
    <cfRule type="containsText" dxfId="967" priority="2782" operator="containsText" text="Pesquisa de Preços">
      <formula>NOT(ISERROR(SEARCH("Pesquisa de Preços",E630)))</formula>
    </cfRule>
  </conditionalFormatting>
  <conditionalFormatting sqref="E629">
    <cfRule type="containsText" dxfId="966" priority="2781" operator="containsText" text="Pesquisa de Preços">
      <formula>NOT(ISERROR(SEARCH("Pesquisa de Preços",E629)))</formula>
    </cfRule>
  </conditionalFormatting>
  <conditionalFormatting sqref="E1257:E1258 E1253:E1254">
    <cfRule type="containsText" dxfId="965" priority="2778" operator="containsText" text="Pesquisa de Preços">
      <formula>NOT(ISERROR(SEARCH("Pesquisa de Preços",E1253)))</formula>
    </cfRule>
  </conditionalFormatting>
  <conditionalFormatting sqref="E632:E634">
    <cfRule type="containsText" dxfId="964" priority="2779" operator="containsText" text="Pesquisa de Preços">
      <formula>NOT(ISERROR(SEARCH("Pesquisa de Preços",E632)))</formula>
    </cfRule>
  </conditionalFormatting>
  <conditionalFormatting sqref="E1252">
    <cfRule type="containsText" dxfId="963" priority="2777" operator="containsText" text="Pesquisa de Preços">
      <formula>NOT(ISERROR(SEARCH("Pesquisa de Preços",E1252)))</formula>
    </cfRule>
  </conditionalFormatting>
  <conditionalFormatting sqref="E1255:E1256">
    <cfRule type="containsText" dxfId="962" priority="2776" operator="containsText" text="Pesquisa de Preços">
      <formula>NOT(ISERROR(SEARCH("Pesquisa de Preços",E1255)))</formula>
    </cfRule>
  </conditionalFormatting>
  <conditionalFormatting sqref="E1155 E1159:E1160">
    <cfRule type="containsText" dxfId="961" priority="2775" operator="containsText" text="Pesquisa de Preços">
      <formula>NOT(ISERROR(SEARCH("Pesquisa de Preços",E1155)))</formula>
    </cfRule>
  </conditionalFormatting>
  <conditionalFormatting sqref="E1154">
    <cfRule type="containsText" dxfId="960" priority="2774" operator="containsText" text="Pesquisa de Preços">
      <formula>NOT(ISERROR(SEARCH("Pesquisa de Preços",E1154)))</formula>
    </cfRule>
  </conditionalFormatting>
  <conditionalFormatting sqref="E1215:E1216 E1211:E1212">
    <cfRule type="containsText" dxfId="959" priority="2773" operator="containsText" text="Pesquisa de Preços">
      <formula>NOT(ISERROR(SEARCH("Pesquisa de Preços",E1211)))</formula>
    </cfRule>
  </conditionalFormatting>
  <conditionalFormatting sqref="E1210">
    <cfRule type="containsText" dxfId="958" priority="2772" operator="containsText" text="Pesquisa de Preços">
      <formula>NOT(ISERROR(SEARCH("Pesquisa de Preços",E1210)))</formula>
    </cfRule>
  </conditionalFormatting>
  <conditionalFormatting sqref="E1213:E1214">
    <cfRule type="containsText" dxfId="957" priority="2771" operator="containsText" text="Pesquisa de Preços">
      <formula>NOT(ISERROR(SEARCH("Pesquisa de Preços",E1213)))</formula>
    </cfRule>
  </conditionalFormatting>
  <conditionalFormatting sqref="E1349">
    <cfRule type="containsText" dxfId="956" priority="2708" operator="containsText" text="Pesquisa de Preços">
      <formula>NOT(ISERROR(SEARCH("Pesquisa de Preços",E1349)))</formula>
    </cfRule>
  </conditionalFormatting>
  <conditionalFormatting sqref="E865:E866">
    <cfRule type="containsText" dxfId="955" priority="2768" operator="containsText" text="Pesquisa de Preços">
      <formula>NOT(ISERROR(SEARCH("Pesquisa de Preços",E865)))</formula>
    </cfRule>
  </conditionalFormatting>
  <conditionalFormatting sqref="E1509">
    <cfRule type="containsText" dxfId="954" priority="2707" operator="containsText" text="Pesquisa de Preços">
      <formula>NOT(ISERROR(SEARCH("Pesquisa de Preços",E1509)))</formula>
    </cfRule>
  </conditionalFormatting>
  <conditionalFormatting sqref="E208">
    <cfRule type="containsText" dxfId="953" priority="2763" operator="containsText" text="Pesquisa de Preços">
      <formula>NOT(ISERROR(SEARCH("Pesquisa de Preços",E208)))</formula>
    </cfRule>
  </conditionalFormatting>
  <conditionalFormatting sqref="E1618">
    <cfRule type="containsText" dxfId="952" priority="2761" operator="containsText" text="Pesquisa de Preços">
      <formula>NOT(ISERROR(SEARCH("Pesquisa de Preços",E1618)))</formula>
    </cfRule>
  </conditionalFormatting>
  <conditionalFormatting sqref="E1685">
    <cfRule type="containsText" dxfId="951" priority="2759" operator="containsText" text="Pesquisa de Preços">
      <formula>NOT(ISERROR(SEARCH("Pesquisa de Preços",E1685)))</formula>
    </cfRule>
  </conditionalFormatting>
  <conditionalFormatting sqref="E1613">
    <cfRule type="containsText" dxfId="950" priority="2756" operator="containsText" text="Pesquisa de Preços">
      <formula>NOT(ISERROR(SEARCH("Pesquisa de Preços",E1613)))</formula>
    </cfRule>
  </conditionalFormatting>
  <conditionalFormatting sqref="E142">
    <cfRule type="containsText" dxfId="949" priority="2755" operator="containsText" text="Pesquisa de Preços">
      <formula>NOT(ISERROR(SEARCH("Pesquisa de Preços",E142)))</formula>
    </cfRule>
  </conditionalFormatting>
  <conditionalFormatting sqref="E802">
    <cfRule type="containsText" dxfId="948" priority="2754" operator="containsText" text="Pesquisa de Preços">
      <formula>NOT(ISERROR(SEARCH("Pesquisa de Preços",E802)))</formula>
    </cfRule>
  </conditionalFormatting>
  <conditionalFormatting sqref="E1001">
    <cfRule type="containsText" dxfId="947" priority="2753" operator="containsText" text="Pesquisa de Preços">
      <formula>NOT(ISERROR(SEARCH("Pesquisa de Preços",E1001)))</formula>
    </cfRule>
  </conditionalFormatting>
  <conditionalFormatting sqref="E1006">
    <cfRule type="containsText" dxfId="946" priority="2752" operator="containsText" text="Pesquisa de Preços">
      <formula>NOT(ISERROR(SEARCH("Pesquisa de Preços",E1006)))</formula>
    </cfRule>
  </conditionalFormatting>
  <conditionalFormatting sqref="E113">
    <cfRule type="containsText" dxfId="945" priority="2751" operator="containsText" text="Pesquisa de Preços">
      <formula>NOT(ISERROR(SEARCH("Pesquisa de Preços",E113)))</formula>
    </cfRule>
  </conditionalFormatting>
  <conditionalFormatting sqref="E114">
    <cfRule type="containsText" dxfId="944" priority="2750" operator="containsText" text="Pesquisa de Preços">
      <formula>NOT(ISERROR(SEARCH("Pesquisa de Preços",E114)))</formula>
    </cfRule>
  </conditionalFormatting>
  <conditionalFormatting sqref="E1480">
    <cfRule type="containsText" dxfId="943" priority="2706" operator="containsText" text="Pesquisa de Preços">
      <formula>NOT(ISERROR(SEARCH("Pesquisa de Preços",E1480)))</formula>
    </cfRule>
  </conditionalFormatting>
  <conditionalFormatting sqref="E1692:E1693">
    <cfRule type="containsText" dxfId="942" priority="2749" operator="containsText" text="Pesquisa de Preços">
      <formula>NOT(ISERROR(SEARCH("Pesquisa de Preços",E1692)))</formula>
    </cfRule>
  </conditionalFormatting>
  <conditionalFormatting sqref="E1658">
    <cfRule type="containsText" dxfId="941" priority="2748" operator="containsText" text="Pesquisa de Preços">
      <formula>NOT(ISERROR(SEARCH("Pesquisa de Preços",E1658)))</formula>
    </cfRule>
  </conditionalFormatting>
  <conditionalFormatting sqref="E1741">
    <cfRule type="containsText" dxfId="940" priority="2747" operator="containsText" text="Pesquisa de Preços">
      <formula>NOT(ISERROR(SEARCH("Pesquisa de Preços",E1741)))</formula>
    </cfRule>
  </conditionalFormatting>
  <conditionalFormatting sqref="E1823">
    <cfRule type="containsText" dxfId="939" priority="2744" operator="containsText" text="Pesquisa de Preços">
      <formula>NOT(ISERROR(SEARCH("Pesquisa de Preços",E1823)))</formula>
    </cfRule>
  </conditionalFormatting>
  <conditionalFormatting sqref="E1837">
    <cfRule type="containsText" dxfId="938" priority="2743" operator="containsText" text="Pesquisa de Preços">
      <formula>NOT(ISERROR(SEARCH("Pesquisa de Preços",E1837)))</formula>
    </cfRule>
  </conditionalFormatting>
  <conditionalFormatting sqref="E1836">
    <cfRule type="containsText" dxfId="937" priority="2742" operator="containsText" text="Pesquisa de Preços">
      <formula>NOT(ISERROR(SEARCH("Pesquisa de Preços",E1836)))</formula>
    </cfRule>
  </conditionalFormatting>
  <conditionalFormatting sqref="E1838">
    <cfRule type="containsText" dxfId="936" priority="2741" operator="containsText" text="Pesquisa de Preços">
      <formula>NOT(ISERROR(SEARCH("Pesquisa de Preços",E1838)))</formula>
    </cfRule>
  </conditionalFormatting>
  <conditionalFormatting sqref="E1919">
    <cfRule type="containsText" dxfId="935" priority="2739" operator="containsText" text="Pesquisa de Preços">
      <formula>NOT(ISERROR(SEARCH("Pesquisa de Preços",E1919)))</formula>
    </cfRule>
  </conditionalFormatting>
  <conditionalFormatting sqref="E841">
    <cfRule type="containsText" dxfId="934" priority="2738" operator="containsText" text="Pesquisa de Preços">
      <formula>NOT(ISERROR(SEARCH("Pesquisa de Preços",E841)))</formula>
    </cfRule>
  </conditionalFormatting>
  <conditionalFormatting sqref="E2382">
    <cfRule type="containsText" dxfId="933" priority="2736" operator="containsText" text="Pesquisa de Preços">
      <formula>NOT(ISERROR(SEARCH("Pesquisa de Preços",E2382)))</formula>
    </cfRule>
  </conditionalFormatting>
  <conditionalFormatting sqref="E2252">
    <cfRule type="containsText" dxfId="932" priority="2735" operator="containsText" text="Pesquisa de Preços">
      <formula>NOT(ISERROR(SEARCH("Pesquisa de Preços",E2252)))</formula>
    </cfRule>
  </conditionalFormatting>
  <conditionalFormatting sqref="E2253">
    <cfRule type="containsText" dxfId="931" priority="2734" operator="containsText" text="Pesquisa de Preços">
      <formula>NOT(ISERROR(SEARCH("Pesquisa de Preços",E2253)))</formula>
    </cfRule>
  </conditionalFormatting>
  <conditionalFormatting sqref="E2375">
    <cfRule type="containsText" dxfId="930" priority="2733" operator="containsText" text="Pesquisa de Preços">
      <formula>NOT(ISERROR(SEARCH("Pesquisa de Preços",E2375)))</formula>
    </cfRule>
  </conditionalFormatting>
  <conditionalFormatting sqref="E133">
    <cfRule type="containsText" dxfId="929" priority="2732" operator="containsText" text="Pesquisa de Preços">
      <formula>NOT(ISERROR(SEARCH("Pesquisa de Preços",E133)))</formula>
    </cfRule>
  </conditionalFormatting>
  <conditionalFormatting sqref="E1115">
    <cfRule type="containsText" dxfId="928" priority="2731" operator="containsText" text="Pesquisa de Preços">
      <formula>NOT(ISERROR(SEARCH("Pesquisa de Preços",E1115)))</formula>
    </cfRule>
  </conditionalFormatting>
  <conditionalFormatting sqref="E1641">
    <cfRule type="containsText" dxfId="927" priority="2730" operator="containsText" text="Pesquisa de Preços">
      <formula>NOT(ISERROR(SEARCH("Pesquisa de Preços",E1641)))</formula>
    </cfRule>
  </conditionalFormatting>
  <conditionalFormatting sqref="E1640">
    <cfRule type="containsText" dxfId="926" priority="2729" operator="containsText" text="Pesquisa de Preços">
      <formula>NOT(ISERROR(SEARCH("Pesquisa de Preços",E1640)))</formula>
    </cfRule>
  </conditionalFormatting>
  <conditionalFormatting sqref="E322">
    <cfRule type="containsText" dxfId="925" priority="2728" operator="containsText" text="Pesquisa de Preços">
      <formula>NOT(ISERROR(SEARCH("Pesquisa de Preços",E322)))</formula>
    </cfRule>
  </conditionalFormatting>
  <conditionalFormatting sqref="E1954">
    <cfRule type="containsText" dxfId="924" priority="2705" operator="containsText" text="Pesquisa de Preços">
      <formula>NOT(ISERROR(SEARCH("Pesquisa de Preços",E1954)))</formula>
    </cfRule>
  </conditionalFormatting>
  <conditionalFormatting sqref="E1957">
    <cfRule type="containsText" dxfId="923" priority="2704" operator="containsText" text="Pesquisa de Preços">
      <formula>NOT(ISERROR(SEARCH("Pesquisa de Preços",E1957)))</formula>
    </cfRule>
  </conditionalFormatting>
  <conditionalFormatting sqref="E80">
    <cfRule type="containsText" dxfId="922" priority="2727" operator="containsText" text="Pesquisa de Preços">
      <formula>NOT(ISERROR(SEARCH("Pesquisa de Preços",E80)))</formula>
    </cfRule>
  </conditionalFormatting>
  <conditionalFormatting sqref="E1132">
    <cfRule type="containsText" dxfId="921" priority="2726" operator="containsText" text="Pesquisa de Preços">
      <formula>NOT(ISERROR(SEARCH("Pesquisa de Preços",E1132)))</formula>
    </cfRule>
  </conditionalFormatting>
  <conditionalFormatting sqref="E1131">
    <cfRule type="containsText" dxfId="920" priority="2725" operator="containsText" text="Pesquisa de Preços">
      <formula>NOT(ISERROR(SEARCH("Pesquisa de Preços",E1131)))</formula>
    </cfRule>
  </conditionalFormatting>
  <conditionalFormatting sqref="E1130">
    <cfRule type="containsText" dxfId="919" priority="2724" operator="containsText" text="Pesquisa de Preços">
      <formula>NOT(ISERROR(SEARCH("Pesquisa de Preços",E1130)))</formula>
    </cfRule>
  </conditionalFormatting>
  <conditionalFormatting sqref="E403:E413">
    <cfRule type="containsText" dxfId="918" priority="2723" operator="containsText" text="Pesquisa de Preços">
      <formula>NOT(ISERROR(SEARCH("Pesquisa de Preços",E403)))</formula>
    </cfRule>
  </conditionalFormatting>
  <conditionalFormatting sqref="E2131:E2132">
    <cfRule type="containsText" dxfId="917" priority="2703" operator="containsText" text="Pesquisa de Preços">
      <formula>NOT(ISERROR(SEARCH("Pesquisa de Preços",E2131)))</formula>
    </cfRule>
  </conditionalFormatting>
  <conditionalFormatting sqref="E195">
    <cfRule type="containsText" dxfId="916" priority="2722" operator="containsText" text="Pesquisa de Preços">
      <formula>NOT(ISERROR(SEARCH("Pesquisa de Preços",E195)))</formula>
    </cfRule>
  </conditionalFormatting>
  <conditionalFormatting sqref="E834:E838">
    <cfRule type="containsText" dxfId="915" priority="2721" operator="containsText" text="Pesquisa de Preços">
      <formula>NOT(ISERROR(SEARCH("Pesquisa de Preços",E834)))</formula>
    </cfRule>
  </conditionalFormatting>
  <conditionalFormatting sqref="E834:E838">
    <cfRule type="containsText" dxfId="914" priority="2720" operator="containsText" text="Pesquisa de Preços">
      <formula>NOT(ISERROR(SEARCH("Pesquisa de Preços",E834)))</formula>
    </cfRule>
  </conditionalFormatting>
  <conditionalFormatting sqref="E1929">
    <cfRule type="containsText" dxfId="913" priority="2719" operator="containsText" text="Pesquisa de Preços">
      <formula>NOT(ISERROR(SEARCH("Pesquisa de Preços",E1929)))</formula>
    </cfRule>
  </conditionalFormatting>
  <conditionalFormatting sqref="E1930">
    <cfRule type="containsText" dxfId="912" priority="2718" operator="containsText" text="Pesquisa de Preços">
      <formula>NOT(ISERROR(SEARCH("Pesquisa de Preços",E1930)))</formula>
    </cfRule>
  </conditionalFormatting>
  <conditionalFormatting sqref="E812">
    <cfRule type="containsText" dxfId="911" priority="2717" operator="containsText" text="Pesquisa de Preços">
      <formula>NOT(ISERROR(SEARCH("Pesquisa de Preços",E812)))</formula>
    </cfRule>
  </conditionalFormatting>
  <conditionalFormatting sqref="E769">
    <cfRule type="containsText" dxfId="910" priority="2716" operator="containsText" text="Pesquisa de Preços">
      <formula>NOT(ISERROR(SEARCH("Pesquisa de Preços",E769)))</formula>
    </cfRule>
  </conditionalFormatting>
  <conditionalFormatting sqref="E768">
    <cfRule type="containsText" dxfId="909" priority="2715" operator="containsText" text="Pesquisa de Preços">
      <formula>NOT(ISERROR(SEARCH("Pesquisa de Preços",E768)))</formula>
    </cfRule>
  </conditionalFormatting>
  <conditionalFormatting sqref="E852">
    <cfRule type="containsText" dxfId="908" priority="2714" operator="containsText" text="Pesquisa de Preços">
      <formula>NOT(ISERROR(SEARCH("Pesquisa de Preços",E852)))</formula>
    </cfRule>
  </conditionalFormatting>
  <conditionalFormatting sqref="E871:E872">
    <cfRule type="containsText" dxfId="907" priority="2713" operator="containsText" text="Pesquisa de Preços">
      <formula>NOT(ISERROR(SEARCH("Pesquisa de Preços",E871)))</formula>
    </cfRule>
  </conditionalFormatting>
  <conditionalFormatting sqref="E2158">
    <cfRule type="containsText" dxfId="906" priority="2702" operator="containsText" text="Pesquisa de Preços">
      <formula>NOT(ISERROR(SEARCH("Pesquisa de Preços",E2158)))</formula>
    </cfRule>
  </conditionalFormatting>
  <conditionalFormatting sqref="E869">
    <cfRule type="containsText" dxfId="905" priority="2712" operator="containsText" text="Pesquisa de Preços">
      <formula>NOT(ISERROR(SEARCH("Pesquisa de Preços",E869)))</formula>
    </cfRule>
  </conditionalFormatting>
  <conditionalFormatting sqref="E890">
    <cfRule type="containsText" dxfId="904" priority="2711" operator="containsText" text="Pesquisa de Preços">
      <formula>NOT(ISERROR(SEARCH("Pesquisa de Preços",E890)))</formula>
    </cfRule>
  </conditionalFormatting>
  <conditionalFormatting sqref="E171">
    <cfRule type="containsText" dxfId="903" priority="2700" operator="containsText" text="Pesquisa de Preços">
      <formula>NOT(ISERROR(SEARCH("Pesquisa de Preços",E171)))</formula>
    </cfRule>
  </conditionalFormatting>
  <conditionalFormatting sqref="E172:E173">
    <cfRule type="containsText" dxfId="902" priority="2701" operator="containsText" text="Pesquisa de Preços">
      <formula>NOT(ISERROR(SEARCH("Pesquisa de Preços",E172)))</formula>
    </cfRule>
  </conditionalFormatting>
  <conditionalFormatting sqref="D2748">
    <cfRule type="containsText" dxfId="901" priority="2679" operator="containsText" text="Pesquisa de Preços">
      <formula>NOT(ISERROR(SEARCH("Pesquisa de Preços",D2748)))</formula>
    </cfRule>
  </conditionalFormatting>
  <conditionalFormatting sqref="D2753">
    <cfRule type="containsText" dxfId="900" priority="2675" operator="containsText" text="Pesquisa de Preços">
      <formula>NOT(ISERROR(SEARCH("Pesquisa de Preços",D2753)))</formula>
    </cfRule>
  </conditionalFormatting>
  <conditionalFormatting sqref="D4624">
    <cfRule type="containsText" dxfId="899" priority="2653" operator="containsText" text="Pesquisa de Preços">
      <formula>NOT(ISERROR(SEARCH("Pesquisa de Preços",D4624)))</formula>
    </cfRule>
  </conditionalFormatting>
  <conditionalFormatting sqref="D4634">
    <cfRule type="containsText" dxfId="898" priority="2645" operator="containsText" text="Pesquisa de Preços">
      <formula>NOT(ISERROR(SEARCH("Pesquisa de Preços",D4634)))</formula>
    </cfRule>
  </conditionalFormatting>
  <conditionalFormatting sqref="D4644">
    <cfRule type="containsText" dxfId="897" priority="2629" operator="containsText" text="Pesquisa de Preços">
      <formula>NOT(ISERROR(SEARCH("Pesquisa de Preços",D4644)))</formula>
    </cfRule>
  </conditionalFormatting>
  <conditionalFormatting sqref="D4649">
    <cfRule type="containsText" dxfId="896" priority="2599" operator="containsText" text="Pesquisa de Preços">
      <formula>NOT(ISERROR(SEARCH("Pesquisa de Preços",D4649)))</formula>
    </cfRule>
  </conditionalFormatting>
  <conditionalFormatting sqref="D4654">
    <cfRule type="containsText" dxfId="895" priority="2595" operator="containsText" text="Pesquisa de Preços">
      <formula>NOT(ISERROR(SEARCH("Pesquisa de Preços",D4654)))</formula>
    </cfRule>
  </conditionalFormatting>
  <conditionalFormatting sqref="D4724:D4725 D4732">
    <cfRule type="containsText" dxfId="894" priority="2542" operator="containsText" text="Pesquisa de Preços">
      <formula>NOT(ISERROR(SEARCH("Pesquisa de Preços",D4724)))</formula>
    </cfRule>
  </conditionalFormatting>
  <conditionalFormatting sqref="D4659">
    <cfRule type="containsText" dxfId="893" priority="2591" operator="containsText" text="Pesquisa de Preços">
      <formula>NOT(ISERROR(SEARCH("Pesquisa de Preços",D4659)))</formula>
    </cfRule>
  </conditionalFormatting>
  <conditionalFormatting sqref="E4727:E4730">
    <cfRule type="containsText" dxfId="892" priority="2538" operator="containsText" text="Pesquisa de Preços">
      <formula>NOT(ISERROR(SEARCH("Pesquisa de Preços",E4727)))</formula>
    </cfRule>
  </conditionalFormatting>
  <conditionalFormatting sqref="D4667">
    <cfRule type="containsText" dxfId="891" priority="2587" operator="containsText" text="Pesquisa de Preços">
      <formula>NOT(ISERROR(SEARCH("Pesquisa de Preços",D4667)))</formula>
    </cfRule>
  </conditionalFormatting>
  <conditionalFormatting sqref="D4733">
    <cfRule type="containsText" dxfId="890" priority="2534" operator="containsText" text="Pesquisa de Preços">
      <formula>NOT(ISERROR(SEARCH("Pesquisa de Preços",D4733)))</formula>
    </cfRule>
  </conditionalFormatting>
  <conditionalFormatting sqref="D4675">
    <cfRule type="containsText" dxfId="889" priority="2583" operator="containsText" text="Pesquisa de Preços">
      <formula>NOT(ISERROR(SEARCH("Pesquisa de Preços",D4675)))</formula>
    </cfRule>
  </conditionalFormatting>
  <conditionalFormatting sqref="E4733">
    <cfRule type="containsText" dxfId="888" priority="2530" operator="containsText" text="Pesquisa de Preços">
      <formula>NOT(ISERROR(SEARCH("Pesquisa de Preços",E4733)))</formula>
    </cfRule>
  </conditionalFormatting>
  <conditionalFormatting sqref="D4683">
    <cfRule type="containsText" dxfId="887" priority="2579" operator="containsText" text="Pesquisa de Preços">
      <formula>NOT(ISERROR(SEARCH("Pesquisa de Preços",D4683)))</formula>
    </cfRule>
  </conditionalFormatting>
  <conditionalFormatting sqref="E4737:E4738">
    <cfRule type="containsText" dxfId="886" priority="2526" operator="containsText" text="Pesquisa de Preços">
      <formula>NOT(ISERROR(SEARCH("Pesquisa de Preços",E4737)))</formula>
    </cfRule>
  </conditionalFormatting>
  <conditionalFormatting sqref="D4691">
    <cfRule type="containsText" dxfId="885" priority="2575" operator="containsText" text="Pesquisa de Preços">
      <formula>NOT(ISERROR(SEARCH("Pesquisa de Preços",D4691)))</formula>
    </cfRule>
  </conditionalFormatting>
  <conditionalFormatting sqref="D4741">
    <cfRule type="containsText" dxfId="884" priority="2522" operator="containsText" text="Pesquisa de Preços">
      <formula>NOT(ISERROR(SEARCH("Pesquisa de Preços",D4741)))</formula>
    </cfRule>
  </conditionalFormatting>
  <conditionalFormatting sqref="D4699">
    <cfRule type="containsText" dxfId="883" priority="2571" operator="containsText" text="Pesquisa de Preços">
      <formula>NOT(ISERROR(SEARCH("Pesquisa de Preços",D4699)))</formula>
    </cfRule>
  </conditionalFormatting>
  <conditionalFormatting sqref="D4748">
    <cfRule type="containsText" dxfId="882" priority="2518" operator="containsText" text="Pesquisa de Preços">
      <formula>NOT(ISERROR(SEARCH("Pesquisa de Preços",D4748)))</formula>
    </cfRule>
  </conditionalFormatting>
  <conditionalFormatting sqref="D4707">
    <cfRule type="containsText" dxfId="881" priority="2567" operator="containsText" text="Pesquisa de Preços">
      <formula>NOT(ISERROR(SEARCH("Pesquisa de Preços",D4707)))</formula>
    </cfRule>
  </conditionalFormatting>
  <conditionalFormatting sqref="D4715">
    <cfRule type="containsText" dxfId="880" priority="2563" operator="containsText" text="Pesquisa de Preços">
      <formula>NOT(ISERROR(SEARCH("Pesquisa de Preços",D4715)))</formula>
    </cfRule>
  </conditionalFormatting>
  <conditionalFormatting sqref="D4723">
    <cfRule type="containsText" dxfId="879" priority="2543" operator="containsText" text="Pesquisa de Preços">
      <formula>NOT(ISERROR(SEARCH("Pesquisa de Preços",D4723)))</formula>
    </cfRule>
  </conditionalFormatting>
  <conditionalFormatting sqref="D4755">
    <cfRule type="containsText" dxfId="878" priority="2514" operator="containsText" text="Pesquisa de Preços">
      <formula>NOT(ISERROR(SEARCH("Pesquisa de Preços",D4755)))</formula>
    </cfRule>
  </conditionalFormatting>
  <conditionalFormatting sqref="D4727:D4729">
    <cfRule type="containsText" dxfId="877" priority="2541" operator="containsText" text="Pesquisa de Preços">
      <formula>NOT(ISERROR(SEARCH("Pesquisa de Preços",D4727)))</formula>
    </cfRule>
  </conditionalFormatting>
  <conditionalFormatting sqref="E4723">
    <cfRule type="containsText" dxfId="876" priority="2539" operator="containsText" text="Pesquisa de Preços">
      <formula>NOT(ISERROR(SEARCH("Pesquisa de Preços",E4723)))</formula>
    </cfRule>
  </conditionalFormatting>
  <conditionalFormatting sqref="E4724:E4725 E4732">
    <cfRule type="containsText" dxfId="875" priority="2540" operator="containsText" text="Pesquisa de Preços">
      <formula>NOT(ISERROR(SEARCH("Pesquisa de Preços",E4724)))</formula>
    </cfRule>
  </conditionalFormatting>
  <conditionalFormatting sqref="D4734:D4735 D4740">
    <cfRule type="containsText" dxfId="874" priority="2533" operator="containsText" text="Pesquisa de Preços">
      <formula>NOT(ISERROR(SEARCH("Pesquisa de Preços",D4734)))</formula>
    </cfRule>
  </conditionalFormatting>
  <conditionalFormatting sqref="E4734:E4735 E4740">
    <cfRule type="containsText" dxfId="873" priority="2531" operator="containsText" text="Pesquisa de Preços">
      <formula>NOT(ISERROR(SEARCH("Pesquisa de Preços",E4734)))</formula>
    </cfRule>
  </conditionalFormatting>
  <conditionalFormatting sqref="E1037">
    <cfRule type="containsText" dxfId="872" priority="2525" operator="containsText" text="Pesquisa de Preços">
      <formula>NOT(ISERROR(SEARCH("Pesquisa de Preços",E1037)))</formula>
    </cfRule>
  </conditionalFormatting>
  <conditionalFormatting sqref="E1038">
    <cfRule type="containsText" dxfId="871" priority="2524" operator="containsText" text="Pesquisa de Preços">
      <formula>NOT(ISERROR(SEARCH("Pesquisa de Preços",E1038)))</formula>
    </cfRule>
  </conditionalFormatting>
  <conditionalFormatting sqref="E4803:E4804 E4808">
    <cfRule type="containsText" dxfId="870" priority="2473" operator="containsText" text="Pesquisa de Preços">
      <formula>NOT(ISERROR(SEARCH("Pesquisa de Preços",E4803)))</formula>
    </cfRule>
  </conditionalFormatting>
  <conditionalFormatting sqref="E4782:E4783 E4787">
    <cfRule type="containsText" dxfId="869" priority="2494" operator="containsText" text="Pesquisa de Preços">
      <formula>NOT(ISERROR(SEARCH("Pesquisa de Preços",E4782)))</formula>
    </cfRule>
  </conditionalFormatting>
  <conditionalFormatting sqref="E4781">
    <cfRule type="containsText" dxfId="868" priority="2493" operator="containsText" text="Pesquisa de Preços">
      <formula>NOT(ISERROR(SEARCH("Pesquisa de Preços",E4781)))</formula>
    </cfRule>
  </conditionalFormatting>
  <conditionalFormatting sqref="D4782:D4783 D4786:D4787">
    <cfRule type="containsText" dxfId="867" priority="2495" operator="containsText" text="Pesquisa de Preços">
      <formula>NOT(ISERROR(SEARCH("Pesquisa de Preços",D4782)))</formula>
    </cfRule>
  </conditionalFormatting>
  <conditionalFormatting sqref="D4762">
    <cfRule type="containsText" dxfId="866" priority="2510" operator="containsText" text="Pesquisa de Preços">
      <formula>NOT(ISERROR(SEARCH("Pesquisa de Preços",D4762)))</formula>
    </cfRule>
  </conditionalFormatting>
  <conditionalFormatting sqref="D4811">
    <cfRule type="containsText" dxfId="865" priority="2457" operator="containsText" text="Pesquisa de Preços">
      <formula>NOT(ISERROR(SEARCH("Pesquisa de Preços",D4811)))</formula>
    </cfRule>
  </conditionalFormatting>
  <conditionalFormatting sqref="D4769">
    <cfRule type="containsText" dxfId="864" priority="2506" operator="containsText" text="Pesquisa de Preços">
      <formula>NOT(ISERROR(SEARCH("Pesquisa de Preços",D4769)))</formula>
    </cfRule>
  </conditionalFormatting>
  <conditionalFormatting sqref="E4789:E4790 E4794">
    <cfRule type="containsText" dxfId="863" priority="2487" operator="containsText" text="Pesquisa de Preços">
      <formula>NOT(ISERROR(SEARCH("Pesquisa de Preços",E4789)))</formula>
    </cfRule>
  </conditionalFormatting>
  <conditionalFormatting sqref="D4776">
    <cfRule type="containsText" dxfId="862" priority="2502" operator="containsText" text="Pesquisa de Preços">
      <formula>NOT(ISERROR(SEARCH("Pesquisa de Preços",D4776)))</formula>
    </cfRule>
  </conditionalFormatting>
  <conditionalFormatting sqref="D4781">
    <cfRule type="containsText" dxfId="861" priority="2496" operator="containsText" text="Pesquisa de Preços">
      <formula>NOT(ISERROR(SEARCH("Pesquisa de Preços",D4781)))</formula>
    </cfRule>
  </conditionalFormatting>
  <conditionalFormatting sqref="D4788">
    <cfRule type="containsText" dxfId="860" priority="2489" operator="containsText" text="Pesquisa de Preços">
      <formula>NOT(ISERROR(SEARCH("Pesquisa de Preços",D4788)))</formula>
    </cfRule>
  </conditionalFormatting>
  <conditionalFormatting sqref="D4803:D4804 D4807:D4808">
    <cfRule type="containsText" dxfId="859" priority="2474" operator="containsText" text="Pesquisa de Preços">
      <formula>NOT(ISERROR(SEARCH("Pesquisa de Preços",D4803)))</formula>
    </cfRule>
  </conditionalFormatting>
  <conditionalFormatting sqref="D4789:D4790 D4793:D4794">
    <cfRule type="containsText" dxfId="858" priority="2488" operator="containsText" text="Pesquisa de Preços">
      <formula>NOT(ISERROR(SEARCH("Pesquisa de Preços",D4789)))</formula>
    </cfRule>
  </conditionalFormatting>
  <conditionalFormatting sqref="E4788">
    <cfRule type="containsText" dxfId="857" priority="2486" operator="containsText" text="Pesquisa de Preços">
      <formula>NOT(ISERROR(SEARCH("Pesquisa de Preços",E4788)))</formula>
    </cfRule>
  </conditionalFormatting>
  <conditionalFormatting sqref="D4796:D4797 D4800:D4801">
    <cfRule type="containsText" dxfId="856" priority="2481" operator="containsText" text="Pesquisa de Preços">
      <formula>NOT(ISERROR(SEARCH("Pesquisa de Preços",D4796)))</formula>
    </cfRule>
  </conditionalFormatting>
  <conditionalFormatting sqref="D4795">
    <cfRule type="containsText" dxfId="855" priority="2482" operator="containsText" text="Pesquisa de Preços">
      <formula>NOT(ISERROR(SEARCH("Pesquisa de Preços",D4795)))</formula>
    </cfRule>
  </conditionalFormatting>
  <conditionalFormatting sqref="E4795">
    <cfRule type="containsText" dxfId="854" priority="2479" operator="containsText" text="Pesquisa de Preços">
      <formula>NOT(ISERROR(SEARCH("Pesquisa de Preços",E4795)))</formula>
    </cfRule>
  </conditionalFormatting>
  <conditionalFormatting sqref="E4796:E4797 E4801">
    <cfRule type="containsText" dxfId="853" priority="2480" operator="containsText" text="Pesquisa de Preços">
      <formula>NOT(ISERROR(SEARCH("Pesquisa de Preços",E4796)))</formula>
    </cfRule>
  </conditionalFormatting>
  <conditionalFormatting sqref="E4845">
    <cfRule type="containsText" dxfId="852" priority="2426" operator="containsText" text="Pesquisa de Preços">
      <formula>NOT(ISERROR(SEARCH("Pesquisa de Preços",E4845)))</formula>
    </cfRule>
  </conditionalFormatting>
  <conditionalFormatting sqref="D4802">
    <cfRule type="containsText" dxfId="851" priority="2475" operator="containsText" text="Pesquisa de Preços">
      <formula>NOT(ISERROR(SEARCH("Pesquisa de Preços",D4802)))</formula>
    </cfRule>
  </conditionalFormatting>
  <conditionalFormatting sqref="E4802">
    <cfRule type="containsText" dxfId="850" priority="2472" operator="containsText" text="Pesquisa de Preços">
      <formula>NOT(ISERROR(SEARCH("Pesquisa de Preços",E4802)))</formula>
    </cfRule>
  </conditionalFormatting>
  <conditionalFormatting sqref="D4833">
    <cfRule type="containsText" dxfId="849" priority="2451" operator="containsText" text="Pesquisa de Preços">
      <formula>NOT(ISERROR(SEARCH("Pesquisa de Preços",D4833)))</formula>
    </cfRule>
  </conditionalFormatting>
  <conditionalFormatting sqref="D4809">
    <cfRule type="containsText" dxfId="848" priority="2466" operator="containsText" text="Pesquisa de Preços">
      <formula>NOT(ISERROR(SEARCH("Pesquisa de Preços",D4809)))</formula>
    </cfRule>
  </conditionalFormatting>
  <conditionalFormatting sqref="D4812">
    <cfRule type="containsText" dxfId="847" priority="2459" operator="containsText" text="Pesquisa de Preços">
      <formula>NOT(ISERROR(SEARCH("Pesquisa de Preços",D4812)))</formula>
    </cfRule>
  </conditionalFormatting>
  <conditionalFormatting sqref="E4839 E4844">
    <cfRule type="containsText" dxfId="846" priority="2436" operator="containsText" text="Pesquisa de Preços">
      <formula>NOT(ISERROR(SEARCH("Pesquisa de Preços",E4839)))</formula>
    </cfRule>
  </conditionalFormatting>
  <conditionalFormatting sqref="E4811">
    <cfRule type="containsText" dxfId="845" priority="2456" operator="containsText" text="Pesquisa de Preços">
      <formula>NOT(ISERROR(SEARCH("Pesquisa de Preços",E4811)))</formula>
    </cfRule>
  </conditionalFormatting>
  <conditionalFormatting sqref="D4839 D4843:D4844">
    <cfRule type="containsText" dxfId="844" priority="2437" operator="containsText" text="Pesquisa de Preços">
      <formula>NOT(ISERROR(SEARCH("Pesquisa de Preços",D4839)))</formula>
    </cfRule>
  </conditionalFormatting>
  <conditionalFormatting sqref="D4814 D4820 D4826 D4832">
    <cfRule type="containsText" dxfId="843" priority="2452" operator="containsText" text="Pesquisa de Preços">
      <formula>NOT(ISERROR(SEARCH("Pesquisa de Preços",D4814)))</formula>
    </cfRule>
  </conditionalFormatting>
  <conditionalFormatting sqref="D4835:D4836">
    <cfRule type="containsText" dxfId="842" priority="2450" operator="containsText" text="Pesquisa de Preços">
      <formula>NOT(ISERROR(SEARCH("Pesquisa de Preços",D4835)))</formula>
    </cfRule>
  </conditionalFormatting>
  <conditionalFormatting sqref="E4827 E4831">
    <cfRule type="containsText" dxfId="841" priority="2445" operator="containsText" text="Pesquisa de Preços">
      <formula>NOT(ISERROR(SEARCH("Pesquisa de Preços",E4827)))</formula>
    </cfRule>
  </conditionalFormatting>
  <conditionalFormatting sqref="D4827 D4831">
    <cfRule type="containsText" dxfId="840" priority="2449" operator="containsText" text="Pesquisa de Preços">
      <formula>NOT(ISERROR(SEARCH("Pesquisa de Preços",D4827)))</formula>
    </cfRule>
  </conditionalFormatting>
  <conditionalFormatting sqref="E4826">
    <cfRule type="containsText" dxfId="839" priority="2444" operator="containsText" text="Pesquisa de Preços">
      <formula>NOT(ISERROR(SEARCH("Pesquisa de Preços",E4826)))</formula>
    </cfRule>
  </conditionalFormatting>
  <conditionalFormatting sqref="E4835:E4836">
    <cfRule type="containsText" dxfId="838" priority="2446" operator="containsText" text="Pesquisa de Preços">
      <formula>NOT(ISERROR(SEARCH("Pesquisa de Preços",E4835)))</formula>
    </cfRule>
  </conditionalFormatting>
  <conditionalFormatting sqref="E4832">
    <cfRule type="containsText" dxfId="837" priority="2447" operator="containsText" text="Pesquisa de Preços">
      <formula>NOT(ISERROR(SEARCH("Pesquisa de Preços",E4832)))</formula>
    </cfRule>
  </conditionalFormatting>
  <conditionalFormatting sqref="E4833">
    <cfRule type="containsText" dxfId="836" priority="2448" operator="containsText" text="Pesquisa de Preços">
      <formula>NOT(ISERROR(SEARCH("Pesquisa de Preços",E4833)))</formula>
    </cfRule>
  </conditionalFormatting>
  <conditionalFormatting sqref="D4838">
    <cfRule type="containsText" dxfId="835" priority="2438" operator="containsText" text="Pesquisa de Preços">
      <formula>NOT(ISERROR(SEARCH("Pesquisa de Preços",D4838)))</formula>
    </cfRule>
  </conditionalFormatting>
  <conditionalFormatting sqref="E4838">
    <cfRule type="containsText" dxfId="834" priority="2435" operator="containsText" text="Pesquisa de Preços">
      <formula>NOT(ISERROR(SEARCH("Pesquisa de Preços",E4838)))</formula>
    </cfRule>
  </conditionalFormatting>
  <conditionalFormatting sqref="E4858">
    <cfRule type="containsText" dxfId="833" priority="2408" operator="containsText" text="Pesquisa de Preços">
      <formula>NOT(ISERROR(SEARCH("Pesquisa de Preços",E4858)))</formula>
    </cfRule>
  </conditionalFormatting>
  <conditionalFormatting sqref="D4845">
    <cfRule type="containsText" dxfId="832" priority="2429" operator="containsText" text="Pesquisa de Preços">
      <formula>NOT(ISERROR(SEARCH("Pesquisa de Preços",D4845)))</formula>
    </cfRule>
  </conditionalFormatting>
  <conditionalFormatting sqref="D4846">
    <cfRule type="containsText" dxfId="831" priority="2428" operator="containsText" text="Pesquisa de Preços">
      <formula>NOT(ISERROR(SEARCH("Pesquisa de Preços",D4846)))</formula>
    </cfRule>
  </conditionalFormatting>
  <conditionalFormatting sqref="E4846:E4847 E4849">
    <cfRule type="containsText" dxfId="830" priority="2427" operator="containsText" text="Pesquisa de Preços">
      <formula>NOT(ISERROR(SEARCH("Pesquisa de Preços",E4846)))</formula>
    </cfRule>
  </conditionalFormatting>
  <conditionalFormatting sqref="D4841">
    <cfRule type="containsText" dxfId="829" priority="2399" operator="containsText" text="Pesquisa de Preços">
      <formula>NOT(ISERROR(SEARCH("Pesquisa de Preços",D4841)))</formula>
    </cfRule>
  </conditionalFormatting>
  <conditionalFormatting sqref="D4858">
    <cfRule type="containsText" dxfId="828" priority="2411" operator="containsText" text="Pesquisa de Preços">
      <formula>NOT(ISERROR(SEARCH("Pesquisa de Preços",D4858)))</formula>
    </cfRule>
  </conditionalFormatting>
  <conditionalFormatting sqref="D4859:D4860">
    <cfRule type="containsText" dxfId="827" priority="2410" operator="containsText" text="Pesquisa de Preços">
      <formula>NOT(ISERROR(SEARCH("Pesquisa de Preços",D4859)))</formula>
    </cfRule>
  </conditionalFormatting>
  <conditionalFormatting sqref="E4859:E4860 E4863">
    <cfRule type="containsText" dxfId="826" priority="2409" operator="containsText" text="Pesquisa de Preços">
      <formula>NOT(ISERROR(SEARCH("Pesquisa de Preços",E4859)))</formula>
    </cfRule>
  </conditionalFormatting>
  <conditionalFormatting sqref="D4850">
    <cfRule type="containsText" dxfId="825" priority="2404" operator="containsText" text="Pesquisa de Preços">
      <formula>NOT(ISERROR(SEARCH("Pesquisa de Preços",D4850)))</formula>
    </cfRule>
  </conditionalFormatting>
  <conditionalFormatting sqref="D4867">
    <cfRule type="containsText" dxfId="824" priority="2398" operator="containsText" text="Pesquisa de Preços">
      <formula>NOT(ISERROR(SEARCH("Pesquisa de Preços",D4867)))</formula>
    </cfRule>
  </conditionalFormatting>
  <conditionalFormatting sqref="D4864">
    <cfRule type="containsText" dxfId="823" priority="2393" operator="containsText" text="Pesquisa de Preços">
      <formula>NOT(ISERROR(SEARCH("Pesquisa de Preços",D4864)))</formula>
    </cfRule>
  </conditionalFormatting>
  <conditionalFormatting sqref="D4865">
    <cfRule type="containsText" dxfId="822" priority="2392" operator="containsText" text="Pesquisa de Preços">
      <formula>NOT(ISERROR(SEARCH("Pesquisa de Preços",D4865)))</formula>
    </cfRule>
  </conditionalFormatting>
  <conditionalFormatting sqref="E4864">
    <cfRule type="containsText" dxfId="821" priority="2390" operator="containsText" text="Pesquisa de Preços">
      <formula>NOT(ISERROR(SEARCH("Pesquisa de Preços",E4864)))</formula>
    </cfRule>
  </conditionalFormatting>
  <conditionalFormatting sqref="E4865:E4867">
    <cfRule type="containsText" dxfId="820" priority="2391" operator="containsText" text="Pesquisa de Preços">
      <formula>NOT(ISERROR(SEARCH("Pesquisa de Preços",E4865)))</formula>
    </cfRule>
  </conditionalFormatting>
  <conditionalFormatting sqref="D4873">
    <cfRule type="containsText" dxfId="819" priority="2387" operator="containsText" text="Pesquisa de Preços">
      <formula>NOT(ISERROR(SEARCH("Pesquisa de Preços",D4873)))</formula>
    </cfRule>
  </conditionalFormatting>
  <conditionalFormatting sqref="D4868">
    <cfRule type="containsText" dxfId="818" priority="2382" operator="containsText" text="Pesquisa de Preços">
      <formula>NOT(ISERROR(SEARCH("Pesquisa de Preços",D4868)))</formula>
    </cfRule>
  </conditionalFormatting>
  <conditionalFormatting sqref="D4869:D4870">
    <cfRule type="containsText" dxfId="817" priority="2381" operator="containsText" text="Pesquisa de Preços">
      <formula>NOT(ISERROR(SEARCH("Pesquisa de Preços",D4869)))</formula>
    </cfRule>
  </conditionalFormatting>
  <conditionalFormatting sqref="E4868">
    <cfRule type="containsText" dxfId="816" priority="2379" operator="containsText" text="Pesquisa de Preços">
      <formula>NOT(ISERROR(SEARCH("Pesquisa de Preços",E4868)))</formula>
    </cfRule>
  </conditionalFormatting>
  <conditionalFormatting sqref="E4869:E4870 E4873">
    <cfRule type="containsText" dxfId="815" priority="2380" operator="containsText" text="Pesquisa de Preços">
      <formula>NOT(ISERROR(SEARCH("Pesquisa de Preços",E4869)))</formula>
    </cfRule>
  </conditionalFormatting>
  <conditionalFormatting sqref="E4874">
    <cfRule type="containsText" dxfId="814" priority="2357" operator="containsText" text="Pesquisa de Preços">
      <formula>NOT(ISERROR(SEARCH("Pesquisa de Preços",E4874)))</formula>
    </cfRule>
  </conditionalFormatting>
  <conditionalFormatting sqref="D4880">
    <cfRule type="containsText" dxfId="813" priority="2351" operator="containsText" text="Pesquisa de Preços">
      <formula>NOT(ISERROR(SEARCH("Pesquisa de Preços",D4880)))</formula>
    </cfRule>
  </conditionalFormatting>
  <conditionalFormatting sqref="E4881:E4882 E4886">
    <cfRule type="containsText" dxfId="812" priority="2349" operator="containsText" text="Pesquisa de Preços">
      <formula>NOT(ISERROR(SEARCH("Pesquisa de Preços",E4881)))</formula>
    </cfRule>
  </conditionalFormatting>
  <conditionalFormatting sqref="D4881:D4882 D4886">
    <cfRule type="containsText" dxfId="811" priority="2350" operator="containsText" text="Pesquisa de Preços">
      <formula>NOT(ISERROR(SEARCH("Pesquisa de Preços",D4881)))</formula>
    </cfRule>
  </conditionalFormatting>
  <conditionalFormatting sqref="D4879">
    <cfRule type="containsText" dxfId="810" priority="2365" operator="containsText" text="Pesquisa de Preços">
      <formula>NOT(ISERROR(SEARCH("Pesquisa de Preços",D4879)))</formula>
    </cfRule>
  </conditionalFormatting>
  <conditionalFormatting sqref="D4874">
    <cfRule type="containsText" dxfId="809" priority="2360" operator="containsText" text="Pesquisa de Preços">
      <formula>NOT(ISERROR(SEARCH("Pesquisa de Preços",D4874)))</formula>
    </cfRule>
  </conditionalFormatting>
  <conditionalFormatting sqref="D4875:D4876">
    <cfRule type="containsText" dxfId="808" priority="2359" operator="containsText" text="Pesquisa de Preços">
      <formula>NOT(ISERROR(SEARCH("Pesquisa de Preços",D4875)))</formula>
    </cfRule>
  </conditionalFormatting>
  <conditionalFormatting sqref="E4875:E4876 E4879">
    <cfRule type="containsText" dxfId="807" priority="2358" operator="containsText" text="Pesquisa de Preços">
      <formula>NOT(ISERROR(SEARCH("Pesquisa de Preços",E4875)))</formula>
    </cfRule>
  </conditionalFormatting>
  <conditionalFormatting sqref="D4883:D4884 D4882:E4883">
    <cfRule type="containsText" dxfId="806" priority="2354" operator="containsText" text="Pesquisa de Preços">
      <formula>NOT(ISERROR(SEARCH("Pesquisa de Preços",D4882)))</formula>
    </cfRule>
  </conditionalFormatting>
  <conditionalFormatting sqref="E4880">
    <cfRule type="containsText" dxfId="805" priority="2348" operator="containsText" text="Pesquisa de Preços">
      <formula>NOT(ISERROR(SEARCH("Pesquisa de Preços",E4880)))</formula>
    </cfRule>
  </conditionalFormatting>
  <conditionalFormatting sqref="E4883:E4885">
    <cfRule type="containsText" dxfId="804" priority="2347" operator="containsText" text="Pesquisa de Preços">
      <formula>NOT(ISERROR(SEARCH("Pesquisa de Preços",E4883)))</formula>
    </cfRule>
  </conditionalFormatting>
  <conditionalFormatting sqref="E4891">
    <cfRule type="containsText" dxfId="803" priority="2330" operator="containsText" text="Pesquisa de Preços">
      <formula>NOT(ISERROR(SEARCH("Pesquisa de Preços",E4891)))</formula>
    </cfRule>
  </conditionalFormatting>
  <conditionalFormatting sqref="D4887">
    <cfRule type="containsText" dxfId="802" priority="2342" operator="containsText" text="Pesquisa de Preços">
      <formula>NOT(ISERROR(SEARCH("Pesquisa de Preços",D4887)))</formula>
    </cfRule>
  </conditionalFormatting>
  <conditionalFormatting sqref="E4888 E4893">
    <cfRule type="containsText" dxfId="801" priority="2340" operator="containsText" text="Pesquisa de Preços">
      <formula>NOT(ISERROR(SEARCH("Pesquisa de Preços",E4888)))</formula>
    </cfRule>
  </conditionalFormatting>
  <conditionalFormatting sqref="D4888 D4893">
    <cfRule type="containsText" dxfId="800" priority="2341" operator="containsText" text="Pesquisa de Preços">
      <formula>NOT(ISERROR(SEARCH("Pesquisa de Preços",D4888)))</formula>
    </cfRule>
  </conditionalFormatting>
  <conditionalFormatting sqref="E4910:E4911">
    <cfRule type="containsText" dxfId="799" priority="2289" operator="containsText" text="Pesquisa de Preços">
      <formula>NOT(ISERROR(SEARCH("Pesquisa de Preços",E4910)))</formula>
    </cfRule>
  </conditionalFormatting>
  <conditionalFormatting sqref="E4887">
    <cfRule type="containsText" dxfId="798" priority="2339" operator="containsText" text="Pesquisa de Preços">
      <formula>NOT(ISERROR(SEARCH("Pesquisa de Preços",E4887)))</formula>
    </cfRule>
  </conditionalFormatting>
  <conditionalFormatting sqref="E4892">
    <cfRule type="containsText" dxfId="797" priority="2338" operator="containsText" text="Pesquisa de Preços">
      <formula>NOT(ISERROR(SEARCH("Pesquisa de Preços",E4892)))</formula>
    </cfRule>
  </conditionalFormatting>
  <conditionalFormatting sqref="D4891">
    <cfRule type="containsText" dxfId="796" priority="2331" operator="containsText" text="Pesquisa de Preços">
      <formula>NOT(ISERROR(SEARCH("Pesquisa de Preços",D4891)))</formula>
    </cfRule>
  </conditionalFormatting>
  <conditionalFormatting sqref="D4901">
    <cfRule type="containsText" dxfId="795" priority="2324" operator="containsText" text="Pesquisa de Preços">
      <formula>NOT(ISERROR(SEARCH("Pesquisa de Preços",D4901)))</formula>
    </cfRule>
  </conditionalFormatting>
  <conditionalFormatting sqref="D4894">
    <cfRule type="containsText" dxfId="794" priority="2328" operator="containsText" text="Pesquisa de Preços">
      <formula>NOT(ISERROR(SEARCH("Pesquisa de Preços",D4894)))</formula>
    </cfRule>
  </conditionalFormatting>
  <conditionalFormatting sqref="D4906">
    <cfRule type="containsText" dxfId="793" priority="2319" operator="containsText" text="Pesquisa de Preços">
      <formula>NOT(ISERROR(SEARCH("Pesquisa de Preços",D4906)))</formula>
    </cfRule>
  </conditionalFormatting>
  <conditionalFormatting sqref="D4904">
    <cfRule type="containsText" dxfId="792" priority="2316" operator="containsText" text="Pesquisa de Preços">
      <formula>NOT(ISERROR(SEARCH("Pesquisa de Preços",D4904)))</formula>
    </cfRule>
  </conditionalFormatting>
  <conditionalFormatting sqref="D1326">
    <cfRule type="containsText" dxfId="791" priority="2312" operator="containsText" text="Pesquisa de Preços">
      <formula>NOT(ISERROR(SEARCH("Pesquisa de Preços",D1326)))</formula>
    </cfRule>
  </conditionalFormatting>
  <conditionalFormatting sqref="E1326">
    <cfRule type="containsText" dxfId="790" priority="2311" operator="containsText" text="Pesquisa de Preços">
      <formula>NOT(ISERROR(SEARCH("Pesquisa de Preços",E1326)))</formula>
    </cfRule>
  </conditionalFormatting>
  <conditionalFormatting sqref="E1325">
    <cfRule type="containsText" dxfId="789" priority="2310" operator="containsText" text="Pesquisa de Preços">
      <formula>NOT(ISERROR(SEARCH("Pesquisa de Preços",E1325)))</formula>
    </cfRule>
  </conditionalFormatting>
  <conditionalFormatting sqref="D1332">
    <cfRule type="containsText" dxfId="788" priority="2306" operator="containsText" text="Pesquisa de Preços">
      <formula>NOT(ISERROR(SEARCH("Pesquisa de Preços",D1332)))</formula>
    </cfRule>
  </conditionalFormatting>
  <conditionalFormatting sqref="E1332">
    <cfRule type="containsText" dxfId="787" priority="2305" operator="containsText" text="Pesquisa de Preços">
      <formula>NOT(ISERROR(SEARCH("Pesquisa de Preços",E1332)))</formula>
    </cfRule>
  </conditionalFormatting>
  <conditionalFormatting sqref="E1331">
    <cfRule type="containsText" dxfId="786" priority="2304" operator="containsText" text="Pesquisa de Preços">
      <formula>NOT(ISERROR(SEARCH("Pesquisa de Preços",E1331)))</formula>
    </cfRule>
  </conditionalFormatting>
  <conditionalFormatting sqref="D1338">
    <cfRule type="containsText" dxfId="785" priority="2300" operator="containsText" text="Pesquisa de Preços">
      <formula>NOT(ISERROR(SEARCH("Pesquisa de Preços",D1338)))</formula>
    </cfRule>
  </conditionalFormatting>
  <conditionalFormatting sqref="E1338">
    <cfRule type="containsText" dxfId="784" priority="2299" operator="containsText" text="Pesquisa de Preços">
      <formula>NOT(ISERROR(SEARCH("Pesquisa de Preços",E1338)))</formula>
    </cfRule>
  </conditionalFormatting>
  <conditionalFormatting sqref="E1337">
    <cfRule type="containsText" dxfId="783" priority="2298" operator="containsText" text="Pesquisa de Preços">
      <formula>NOT(ISERROR(SEARCH("Pesquisa de Preços",E1337)))</formula>
    </cfRule>
  </conditionalFormatting>
  <conditionalFormatting sqref="D4909 D4915">
    <cfRule type="containsText" dxfId="782" priority="2294" operator="containsText" text="Pesquisa de Preços">
      <formula>NOT(ISERROR(SEARCH("Pesquisa de Preços",D4909)))</formula>
    </cfRule>
  </conditionalFormatting>
  <conditionalFormatting sqref="D4910:D4911">
    <cfRule type="containsText" dxfId="781" priority="2292" operator="containsText" text="Pesquisa de Preços">
      <formula>NOT(ISERROR(SEARCH("Pesquisa de Preços",D4910)))</formula>
    </cfRule>
  </conditionalFormatting>
  <conditionalFormatting sqref="D4916:D4917">
    <cfRule type="containsText" dxfId="780" priority="2293" operator="containsText" text="Pesquisa de Preços">
      <formula>NOT(ISERROR(SEARCH("Pesquisa de Preços",D4916)))</formula>
    </cfRule>
  </conditionalFormatting>
  <conditionalFormatting sqref="E4915">
    <cfRule type="containsText" dxfId="779" priority="2290" operator="containsText" text="Pesquisa de Preços">
      <formula>NOT(ISERROR(SEARCH("Pesquisa de Preços",E4915)))</formula>
    </cfRule>
  </conditionalFormatting>
  <conditionalFormatting sqref="E4909">
    <cfRule type="containsText" dxfId="778" priority="2288" operator="containsText" text="Pesquisa de Preços">
      <formula>NOT(ISERROR(SEARCH("Pesquisa de Preços",E4909)))</formula>
    </cfRule>
  </conditionalFormatting>
  <conditionalFormatting sqref="E4916:E4917">
    <cfRule type="containsText" dxfId="777" priority="2291" operator="containsText" text="Pesquisa de Preços">
      <formula>NOT(ISERROR(SEARCH("Pesquisa de Preços",E4916)))</formula>
    </cfRule>
  </conditionalFormatting>
  <conditionalFormatting sqref="D4919">
    <cfRule type="containsText" dxfId="776" priority="2284" operator="containsText" text="Pesquisa de Preços">
      <formula>NOT(ISERROR(SEARCH("Pesquisa de Preços",D4919)))</formula>
    </cfRule>
  </conditionalFormatting>
  <conditionalFormatting sqref="E4919">
    <cfRule type="containsText" dxfId="775" priority="2283" operator="containsText" text="Pesquisa de Preços">
      <formula>NOT(ISERROR(SEARCH("Pesquisa de Preços",E4919)))</formula>
    </cfRule>
  </conditionalFormatting>
  <conditionalFormatting sqref="E4918">
    <cfRule type="containsText" dxfId="774" priority="2282" operator="containsText" text="Pesquisa de Preços">
      <formula>NOT(ISERROR(SEARCH("Pesquisa de Preços",E4918)))</formula>
    </cfRule>
  </conditionalFormatting>
  <conditionalFormatting sqref="D4913">
    <cfRule type="containsText" dxfId="773" priority="2278" operator="containsText" text="Pesquisa de Preços">
      <formula>NOT(ISERROR(SEARCH("Pesquisa de Preços",D4913)))</formula>
    </cfRule>
  </conditionalFormatting>
  <conditionalFormatting sqref="E4913">
    <cfRule type="containsText" dxfId="772" priority="2277" operator="containsText" text="Pesquisa de Preços">
      <formula>NOT(ISERROR(SEARCH("Pesquisa de Preços",E4913)))</formula>
    </cfRule>
  </conditionalFormatting>
  <conditionalFormatting sqref="E4912">
    <cfRule type="containsText" dxfId="771" priority="2276" operator="containsText" text="Pesquisa de Preços">
      <formula>NOT(ISERROR(SEARCH("Pesquisa de Preços",E4912)))</formula>
    </cfRule>
  </conditionalFormatting>
  <conditionalFormatting sqref="D4921">
    <cfRule type="containsText" dxfId="770" priority="2272" operator="containsText" text="Pesquisa de Preços">
      <formula>NOT(ISERROR(SEARCH("Pesquisa de Preços",D4921)))</formula>
    </cfRule>
  </conditionalFormatting>
  <conditionalFormatting sqref="D4922 D4926">
    <cfRule type="containsText" dxfId="769" priority="2271" operator="containsText" text="Pesquisa de Preços">
      <formula>NOT(ISERROR(SEARCH("Pesquisa de Preços",D4922)))</formula>
    </cfRule>
  </conditionalFormatting>
  <conditionalFormatting sqref="D4923">
    <cfRule type="containsText" dxfId="768" priority="2270" operator="containsText" text="Pesquisa de Preços">
      <formula>NOT(ISERROR(SEARCH("Pesquisa de Preços",D4923)))</formula>
    </cfRule>
  </conditionalFormatting>
  <conditionalFormatting sqref="D4924:D4925">
    <cfRule type="containsText" dxfId="767" priority="2269" operator="containsText" text="Pesquisa de Preços">
      <formula>NOT(ISERROR(SEARCH("Pesquisa de Preços",D4924)))</formula>
    </cfRule>
  </conditionalFormatting>
  <conditionalFormatting sqref="E4922 E4926">
    <cfRule type="containsText" dxfId="766" priority="2268" operator="containsText" text="Pesquisa de Preços">
      <formula>NOT(ISERROR(SEARCH("Pesquisa de Preços",E4922)))</formula>
    </cfRule>
  </conditionalFormatting>
  <conditionalFormatting sqref="E4921">
    <cfRule type="containsText" dxfId="765" priority="2267" operator="containsText" text="Pesquisa de Preços">
      <formula>NOT(ISERROR(SEARCH("Pesquisa de Preços",E4921)))</formula>
    </cfRule>
  </conditionalFormatting>
  <conditionalFormatting sqref="E4923">
    <cfRule type="containsText" dxfId="764" priority="2266" operator="containsText" text="Pesquisa de Preços">
      <formula>NOT(ISERROR(SEARCH("Pesquisa de Preços",E4923)))</formula>
    </cfRule>
  </conditionalFormatting>
  <conditionalFormatting sqref="E4924:E4925">
    <cfRule type="containsText" dxfId="763" priority="2265" operator="containsText" text="Pesquisa de Preços">
      <formula>NOT(ISERROR(SEARCH("Pesquisa de Preços",E4924)))</formula>
    </cfRule>
  </conditionalFormatting>
  <conditionalFormatting sqref="D4927">
    <cfRule type="containsText" dxfId="762" priority="2261" operator="containsText" text="Pesquisa de Preços">
      <formula>NOT(ISERROR(SEARCH("Pesquisa de Preços",D4927)))</formula>
    </cfRule>
  </conditionalFormatting>
  <conditionalFormatting sqref="D4928 D4932">
    <cfRule type="containsText" dxfId="761" priority="2260" operator="containsText" text="Pesquisa de Preços">
      <formula>NOT(ISERROR(SEARCH("Pesquisa de Preços",D4928)))</formula>
    </cfRule>
  </conditionalFormatting>
  <conditionalFormatting sqref="D4929">
    <cfRule type="containsText" dxfId="760" priority="2259" operator="containsText" text="Pesquisa de Preços">
      <formula>NOT(ISERROR(SEARCH("Pesquisa de Preços",D4929)))</formula>
    </cfRule>
  </conditionalFormatting>
  <conditionalFormatting sqref="D4930:D4931">
    <cfRule type="containsText" dxfId="759" priority="2258" operator="containsText" text="Pesquisa de Preços">
      <formula>NOT(ISERROR(SEARCH("Pesquisa de Preços",D4930)))</formula>
    </cfRule>
  </conditionalFormatting>
  <conditionalFormatting sqref="E4928 E4932">
    <cfRule type="containsText" dxfId="758" priority="2257" operator="containsText" text="Pesquisa de Preços">
      <formula>NOT(ISERROR(SEARCH("Pesquisa de Preços",E4928)))</formula>
    </cfRule>
  </conditionalFormatting>
  <conditionalFormatting sqref="E4927">
    <cfRule type="containsText" dxfId="757" priority="2256" operator="containsText" text="Pesquisa de Preços">
      <formula>NOT(ISERROR(SEARCH("Pesquisa de Preços",E4927)))</formula>
    </cfRule>
  </conditionalFormatting>
  <conditionalFormatting sqref="E4929">
    <cfRule type="containsText" dxfId="756" priority="2255" operator="containsText" text="Pesquisa de Preços">
      <formula>NOT(ISERROR(SEARCH("Pesquisa de Preços",E4929)))</formula>
    </cfRule>
  </conditionalFormatting>
  <conditionalFormatting sqref="E4930:E4931">
    <cfRule type="containsText" dxfId="755" priority="2254" operator="containsText" text="Pesquisa de Preços">
      <formula>NOT(ISERROR(SEARCH("Pesquisa de Preços",E4930)))</formula>
    </cfRule>
  </conditionalFormatting>
  <conditionalFormatting sqref="E4934:E4935 E4939">
    <cfRule type="containsText" dxfId="754" priority="2246" operator="containsText" text="Pesquisa de Preços">
      <formula>NOT(ISERROR(SEARCH("Pesquisa de Preços",E4934)))</formula>
    </cfRule>
  </conditionalFormatting>
  <conditionalFormatting sqref="E4933">
    <cfRule type="containsText" dxfId="753" priority="2245" operator="containsText" text="Pesquisa de Preços">
      <formula>NOT(ISERROR(SEARCH("Pesquisa de Preços",E4933)))</formula>
    </cfRule>
  </conditionalFormatting>
  <conditionalFormatting sqref="D4934:D4935 D4938:D4939">
    <cfRule type="containsText" dxfId="752" priority="2247" operator="containsText" text="Pesquisa de Preços">
      <formula>NOT(ISERROR(SEARCH("Pesquisa de Preços",D4934)))</formula>
    </cfRule>
  </conditionalFormatting>
  <conditionalFormatting sqref="D4933">
    <cfRule type="containsText" dxfId="751" priority="2248" operator="containsText" text="Pesquisa de Preços">
      <formula>NOT(ISERROR(SEARCH("Pesquisa de Preços",D4933)))</formula>
    </cfRule>
  </conditionalFormatting>
  <conditionalFormatting sqref="D4834">
    <cfRule type="containsText" dxfId="750" priority="2236" operator="containsText" text="Pesquisa de Preços">
      <formula>NOT(ISERROR(SEARCH("Pesquisa de Preços",D4834)))</formula>
    </cfRule>
  </conditionalFormatting>
  <conditionalFormatting sqref="E4834">
    <cfRule type="containsText" dxfId="749" priority="2235" operator="containsText" text="Pesquisa de Preços">
      <formula>NOT(ISERROR(SEARCH("Pesquisa de Preços",E4834)))</formula>
    </cfRule>
  </conditionalFormatting>
  <conditionalFormatting sqref="D2288">
    <cfRule type="containsText" dxfId="748" priority="2226" operator="containsText" text="Pesquisa de Preços">
      <formula>NOT(ISERROR(SEARCH("Pesquisa de Preços",D2288)))</formula>
    </cfRule>
  </conditionalFormatting>
  <conditionalFormatting sqref="E2288">
    <cfRule type="containsText" dxfId="747" priority="2225" operator="containsText" text="Pesquisa de Preços">
      <formula>NOT(ISERROR(SEARCH("Pesquisa de Preços",E2288)))</formula>
    </cfRule>
  </conditionalFormatting>
  <conditionalFormatting sqref="D2289:D2290">
    <cfRule type="containsText" dxfId="746" priority="2214" operator="containsText" text="Pesquisa de Preços">
      <formula>NOT(ISERROR(SEARCH("Pesquisa de Preços",D2289)))</formula>
    </cfRule>
  </conditionalFormatting>
  <conditionalFormatting sqref="E2289:E2290">
    <cfRule type="containsText" dxfId="745" priority="2213" operator="containsText" text="Pesquisa de Preços">
      <formula>NOT(ISERROR(SEARCH("Pesquisa de Preços",E2289)))</formula>
    </cfRule>
  </conditionalFormatting>
  <conditionalFormatting sqref="D2243">
    <cfRule type="containsText" dxfId="744" priority="2189" operator="containsText" text="Pesquisa de Preços">
      <formula>NOT(ISERROR(SEARCH("Pesquisa de Preços",D2243)))</formula>
    </cfRule>
  </conditionalFormatting>
  <conditionalFormatting sqref="E2243">
    <cfRule type="containsText" dxfId="743" priority="2188" operator="containsText" text="Pesquisa de Preços">
      <formula>NOT(ISERROR(SEARCH("Pesquisa de Preços",E2243)))</formula>
    </cfRule>
  </conditionalFormatting>
  <conditionalFormatting sqref="D4892">
    <cfRule type="containsText" dxfId="742" priority="2185" operator="containsText" text="Pesquisa de Preços">
      <formula>NOT(ISERROR(SEARCH("Pesquisa de Preços",D4892)))</formula>
    </cfRule>
  </conditionalFormatting>
  <conditionalFormatting sqref="D4941 D4946">
    <cfRule type="containsText" dxfId="741" priority="2168" operator="containsText" text="Pesquisa de Preços">
      <formula>NOT(ISERROR(SEARCH("Pesquisa de Preços",D4941)))</formula>
    </cfRule>
  </conditionalFormatting>
  <conditionalFormatting sqref="D4940">
    <cfRule type="containsText" dxfId="740" priority="2169" operator="containsText" text="Pesquisa de Preços">
      <formula>NOT(ISERROR(SEARCH("Pesquisa de Preços",D4940)))</formula>
    </cfRule>
  </conditionalFormatting>
  <conditionalFormatting sqref="E4941 E4946">
    <cfRule type="containsText" dxfId="739" priority="2167" operator="containsText" text="Pesquisa de Preços">
      <formula>NOT(ISERROR(SEARCH("Pesquisa de Preços",E4941)))</formula>
    </cfRule>
  </conditionalFormatting>
  <conditionalFormatting sqref="E4940">
    <cfRule type="containsText" dxfId="738" priority="2166" operator="containsText" text="Pesquisa de Preços">
      <formula>NOT(ISERROR(SEARCH("Pesquisa de Preços",E4940)))</formula>
    </cfRule>
  </conditionalFormatting>
  <conditionalFormatting sqref="D4947">
    <cfRule type="containsText" dxfId="737" priority="2159" operator="containsText" text="Pesquisa de Preços">
      <formula>NOT(ISERROR(SEARCH("Pesquisa de Preços",D4947)))</formula>
    </cfRule>
  </conditionalFormatting>
  <conditionalFormatting sqref="D4948 D4957">
    <cfRule type="containsText" dxfId="736" priority="2158" operator="containsText" text="Pesquisa de Preços">
      <formula>NOT(ISERROR(SEARCH("Pesquisa de Preços",D4948)))</formula>
    </cfRule>
  </conditionalFormatting>
  <conditionalFormatting sqref="E4947">
    <cfRule type="containsText" dxfId="735" priority="2156" operator="containsText" text="Pesquisa de Preços">
      <formula>NOT(ISERROR(SEARCH("Pesquisa de Preços",E4947)))</formula>
    </cfRule>
  </conditionalFormatting>
  <conditionalFormatting sqref="E4948 E4957">
    <cfRule type="containsText" dxfId="734" priority="2157" operator="containsText" text="Pesquisa de Preços">
      <formula>NOT(ISERROR(SEARCH("Pesquisa de Preços",E4948)))</formula>
    </cfRule>
  </conditionalFormatting>
  <conditionalFormatting sqref="D4958">
    <cfRule type="containsText" dxfId="733" priority="2142" operator="containsText" text="Pesquisa de Preços">
      <formula>NOT(ISERROR(SEARCH("Pesquisa de Preços",D4958)))</formula>
    </cfRule>
  </conditionalFormatting>
  <conditionalFormatting sqref="D4961">
    <cfRule type="containsText" dxfId="732" priority="2134" operator="containsText" text="Pesquisa de Preços">
      <formula>NOT(ISERROR(SEARCH("Pesquisa de Preços",D4961)))</formula>
    </cfRule>
  </conditionalFormatting>
  <conditionalFormatting sqref="D4964">
    <cfRule type="containsText" dxfId="731" priority="2130" operator="containsText" text="Pesquisa de Preços">
      <formula>NOT(ISERROR(SEARCH("Pesquisa de Preços",D4964)))</formula>
    </cfRule>
  </conditionalFormatting>
  <conditionalFormatting sqref="D4969">
    <cfRule type="containsText" dxfId="730" priority="2125" operator="containsText" text="Pesquisa de Preços">
      <formula>NOT(ISERROR(SEARCH("Pesquisa de Preços",D4969)))</formula>
    </cfRule>
  </conditionalFormatting>
  <conditionalFormatting sqref="D4967">
    <cfRule type="containsText" dxfId="729" priority="2122" operator="containsText" text="Pesquisa de Preços">
      <formula>NOT(ISERROR(SEARCH("Pesquisa de Preços",D4967)))</formula>
    </cfRule>
  </conditionalFormatting>
  <conditionalFormatting sqref="D4972">
    <cfRule type="containsText" dxfId="728" priority="2116" operator="containsText" text="Pesquisa de Preços">
      <formula>NOT(ISERROR(SEARCH("Pesquisa de Preços",D4972)))</formula>
    </cfRule>
  </conditionalFormatting>
  <conditionalFormatting sqref="D4977">
    <cfRule type="containsText" dxfId="727" priority="2113" operator="containsText" text="Pesquisa de Preços">
      <formula>NOT(ISERROR(SEARCH("Pesquisa de Preços",D4977)))</formula>
    </cfRule>
  </conditionalFormatting>
  <conditionalFormatting sqref="D4975">
    <cfRule type="containsText" dxfId="726" priority="2110" operator="containsText" text="Pesquisa de Preços">
      <formula>NOT(ISERROR(SEARCH("Pesquisa de Preços",D4975)))</formula>
    </cfRule>
  </conditionalFormatting>
  <conditionalFormatting sqref="D4980">
    <cfRule type="containsText" dxfId="725" priority="2104" operator="containsText" text="Pesquisa de Preços">
      <formula>NOT(ISERROR(SEARCH("Pesquisa de Preços",D4980)))</formula>
    </cfRule>
  </conditionalFormatting>
  <conditionalFormatting sqref="D4985">
    <cfRule type="containsText" dxfId="724" priority="2101" operator="containsText" text="Pesquisa de Preços">
      <formula>NOT(ISERROR(SEARCH("Pesquisa de Preços",D4985)))</formula>
    </cfRule>
  </conditionalFormatting>
  <conditionalFormatting sqref="D4983">
    <cfRule type="containsText" dxfId="723" priority="2098" operator="containsText" text="Pesquisa de Preços">
      <formula>NOT(ISERROR(SEARCH("Pesquisa de Preços",D4983)))</formula>
    </cfRule>
  </conditionalFormatting>
  <conditionalFormatting sqref="D4988">
    <cfRule type="containsText" dxfId="722" priority="2080" operator="containsText" text="Pesquisa de Preços">
      <formula>NOT(ISERROR(SEARCH("Pesquisa de Preços",D4988)))</formula>
    </cfRule>
  </conditionalFormatting>
  <conditionalFormatting sqref="D4993">
    <cfRule type="containsText" dxfId="721" priority="2077" operator="containsText" text="Pesquisa de Preços">
      <formula>NOT(ISERROR(SEARCH("Pesquisa de Preços",D4993)))</formula>
    </cfRule>
  </conditionalFormatting>
  <conditionalFormatting sqref="D4991">
    <cfRule type="containsText" dxfId="720" priority="2074" operator="containsText" text="Pesquisa de Preços">
      <formula>NOT(ISERROR(SEARCH("Pesquisa de Preços",D4991)))</formula>
    </cfRule>
  </conditionalFormatting>
  <conditionalFormatting sqref="D4996">
    <cfRule type="containsText" dxfId="719" priority="2068" operator="containsText" text="Pesquisa de Preços">
      <formula>NOT(ISERROR(SEARCH("Pesquisa de Preços",D4996)))</formula>
    </cfRule>
  </conditionalFormatting>
  <conditionalFormatting sqref="D5000">
    <cfRule type="containsText" dxfId="718" priority="2065" operator="containsText" text="Pesquisa de Preços">
      <formula>NOT(ISERROR(SEARCH("Pesquisa de Preços",D5000)))</formula>
    </cfRule>
  </conditionalFormatting>
  <conditionalFormatting sqref="D4998">
    <cfRule type="containsText" dxfId="717" priority="2055" operator="containsText" text="Pesquisa de Preços">
      <formula>NOT(ISERROR(SEARCH("Pesquisa de Preços",D4998)))</formula>
    </cfRule>
  </conditionalFormatting>
  <conditionalFormatting sqref="D5002">
    <cfRule type="containsText" dxfId="716" priority="2053" operator="containsText" text="Pesquisa de Preços">
      <formula>NOT(ISERROR(SEARCH("Pesquisa de Preços",D5002)))</formula>
    </cfRule>
  </conditionalFormatting>
  <conditionalFormatting sqref="D5007">
    <cfRule type="containsText" dxfId="715" priority="2050" operator="containsText" text="Pesquisa de Preços">
      <formula>NOT(ISERROR(SEARCH("Pesquisa de Preços",D5007)))</formula>
    </cfRule>
  </conditionalFormatting>
  <conditionalFormatting sqref="D5005">
    <cfRule type="containsText" dxfId="714" priority="2047" operator="containsText" text="Pesquisa de Preços">
      <formula>NOT(ISERROR(SEARCH("Pesquisa de Preços",D5005)))</formula>
    </cfRule>
  </conditionalFormatting>
  <conditionalFormatting sqref="D5010">
    <cfRule type="containsText" dxfId="713" priority="2041" operator="containsText" text="Pesquisa de Preços">
      <formula>NOT(ISERROR(SEARCH("Pesquisa de Preços",D5010)))</formula>
    </cfRule>
  </conditionalFormatting>
  <conditionalFormatting sqref="D5014">
    <cfRule type="containsText" dxfId="712" priority="2038" operator="containsText" text="Pesquisa de Preços">
      <formula>NOT(ISERROR(SEARCH("Pesquisa de Preços",D5014)))</formula>
    </cfRule>
  </conditionalFormatting>
  <conditionalFormatting sqref="D5012">
    <cfRule type="containsText" dxfId="711" priority="2033" operator="containsText" text="Pesquisa de Preços">
      <formula>NOT(ISERROR(SEARCH("Pesquisa de Preços",D5012)))</formula>
    </cfRule>
  </conditionalFormatting>
  <conditionalFormatting sqref="D5016">
    <cfRule type="containsText" dxfId="710" priority="2031" operator="containsText" text="Pesquisa de Preços">
      <formula>NOT(ISERROR(SEARCH("Pesquisa de Preços",D5016)))</formula>
    </cfRule>
  </conditionalFormatting>
  <conditionalFormatting sqref="D5021">
    <cfRule type="containsText" dxfId="709" priority="2028" operator="containsText" text="Pesquisa de Preços">
      <formula>NOT(ISERROR(SEARCH("Pesquisa de Preços",D5021)))</formula>
    </cfRule>
  </conditionalFormatting>
  <conditionalFormatting sqref="D5019">
    <cfRule type="containsText" dxfId="708" priority="2025" operator="containsText" text="Pesquisa de Preços">
      <formula>NOT(ISERROR(SEARCH("Pesquisa de Preços",D5019)))</formula>
    </cfRule>
  </conditionalFormatting>
  <conditionalFormatting sqref="D5024">
    <cfRule type="containsText" dxfId="707" priority="2017" operator="containsText" text="Pesquisa de Preços">
      <formula>NOT(ISERROR(SEARCH("Pesquisa de Preços",D5024)))</formula>
    </cfRule>
  </conditionalFormatting>
  <conditionalFormatting sqref="D5029">
    <cfRule type="containsText" dxfId="706" priority="2014" operator="containsText" text="Pesquisa de Preços">
      <formula>NOT(ISERROR(SEARCH("Pesquisa de Preços",D5029)))</formula>
    </cfRule>
  </conditionalFormatting>
  <conditionalFormatting sqref="D5027">
    <cfRule type="containsText" dxfId="705" priority="2011" operator="containsText" text="Pesquisa de Preços">
      <formula>NOT(ISERROR(SEARCH("Pesquisa de Preços",D5027)))</formula>
    </cfRule>
  </conditionalFormatting>
  <conditionalFormatting sqref="D5032">
    <cfRule type="containsText" dxfId="704" priority="2005" operator="containsText" text="Pesquisa de Preços">
      <formula>NOT(ISERROR(SEARCH("Pesquisa de Preços",D5032)))</formula>
    </cfRule>
  </conditionalFormatting>
  <conditionalFormatting sqref="D5037">
    <cfRule type="containsText" dxfId="703" priority="2002" operator="containsText" text="Pesquisa de Preços">
      <formula>NOT(ISERROR(SEARCH("Pesquisa de Preços",D5037)))</formula>
    </cfRule>
  </conditionalFormatting>
  <conditionalFormatting sqref="D5035">
    <cfRule type="containsText" dxfId="702" priority="1999" operator="containsText" text="Pesquisa de Preços">
      <formula>NOT(ISERROR(SEARCH("Pesquisa de Preços",D5035)))</formula>
    </cfRule>
  </conditionalFormatting>
  <conditionalFormatting sqref="D5040">
    <cfRule type="containsText" dxfId="701" priority="1993" operator="containsText" text="Pesquisa de Preços">
      <formula>NOT(ISERROR(SEARCH("Pesquisa de Preços",D5040)))</formula>
    </cfRule>
  </conditionalFormatting>
  <conditionalFormatting sqref="D5045">
    <cfRule type="containsText" dxfId="700" priority="1990" operator="containsText" text="Pesquisa de Preços">
      <formula>NOT(ISERROR(SEARCH("Pesquisa de Preços",D5045)))</formula>
    </cfRule>
  </conditionalFormatting>
  <conditionalFormatting sqref="D5043">
    <cfRule type="containsText" dxfId="699" priority="1987" operator="containsText" text="Pesquisa de Preços">
      <formula>NOT(ISERROR(SEARCH("Pesquisa de Preços",D5043)))</formula>
    </cfRule>
  </conditionalFormatting>
  <conditionalFormatting sqref="D5050">
    <cfRule type="containsText" dxfId="698" priority="1978" operator="containsText" text="Pesquisa de Preços">
      <formula>NOT(ISERROR(SEARCH("Pesquisa de Preços",D5050)))</formula>
    </cfRule>
  </conditionalFormatting>
  <conditionalFormatting sqref="D5055">
    <cfRule type="containsText" dxfId="697" priority="1975" operator="containsText" text="Pesquisa de Preços">
      <formula>NOT(ISERROR(SEARCH("Pesquisa de Preços",D5055)))</formula>
    </cfRule>
  </conditionalFormatting>
  <conditionalFormatting sqref="D5053">
    <cfRule type="containsText" dxfId="696" priority="1972" operator="containsText" text="Pesquisa de Preços">
      <formula>NOT(ISERROR(SEARCH("Pesquisa de Preços",D5053)))</formula>
    </cfRule>
  </conditionalFormatting>
  <conditionalFormatting sqref="D5060">
    <cfRule type="containsText" dxfId="695" priority="1963" operator="containsText" text="Pesquisa de Preços">
      <formula>NOT(ISERROR(SEARCH("Pesquisa de Preços",D5060)))</formula>
    </cfRule>
  </conditionalFormatting>
  <conditionalFormatting sqref="D5065">
    <cfRule type="containsText" dxfId="694" priority="1960" operator="containsText" text="Pesquisa de Preços">
      <formula>NOT(ISERROR(SEARCH("Pesquisa de Preços",D5065)))</formula>
    </cfRule>
  </conditionalFormatting>
  <conditionalFormatting sqref="D5063">
    <cfRule type="containsText" dxfId="693" priority="1957" operator="containsText" text="Pesquisa de Preços">
      <formula>NOT(ISERROR(SEARCH("Pesquisa de Preços",D5063)))</formula>
    </cfRule>
  </conditionalFormatting>
  <conditionalFormatting sqref="D5062">
    <cfRule type="containsText" dxfId="692" priority="1952" operator="containsText" text="Pesquisa de Preços">
      <formula>NOT(ISERROR(SEARCH("Pesquisa de Preços",D5062)))</formula>
    </cfRule>
  </conditionalFormatting>
  <conditionalFormatting sqref="D5067">
    <cfRule type="containsText" dxfId="691" priority="1950" operator="containsText" text="Pesquisa de Preços">
      <formula>NOT(ISERROR(SEARCH("Pesquisa de Preços",D5067)))</formula>
    </cfRule>
  </conditionalFormatting>
  <conditionalFormatting sqref="D5072">
    <cfRule type="containsText" dxfId="690" priority="1947" operator="containsText" text="Pesquisa de Preços">
      <formula>NOT(ISERROR(SEARCH("Pesquisa de Preços",D5072)))</formula>
    </cfRule>
  </conditionalFormatting>
  <conditionalFormatting sqref="D5070">
    <cfRule type="containsText" dxfId="689" priority="1944" operator="containsText" text="Pesquisa de Preços">
      <formula>NOT(ISERROR(SEARCH("Pesquisa de Preços",D5070)))</formula>
    </cfRule>
  </conditionalFormatting>
  <conditionalFormatting sqref="D5069">
    <cfRule type="containsText" dxfId="688" priority="1941" operator="containsText" text="Pesquisa de Preços">
      <formula>NOT(ISERROR(SEARCH("Pesquisa de Preços",D5069)))</formula>
    </cfRule>
  </conditionalFormatting>
  <conditionalFormatting sqref="D5078">
    <cfRule type="containsText" dxfId="687" priority="1916" operator="containsText" text="Pesquisa de Preços">
      <formula>NOT(ISERROR(SEARCH("Pesquisa de Preços",D5078)))</formula>
    </cfRule>
  </conditionalFormatting>
  <conditionalFormatting sqref="D5074">
    <cfRule type="containsText" dxfId="686" priority="1928" operator="containsText" text="Pesquisa de Preços">
      <formula>NOT(ISERROR(SEARCH("Pesquisa de Preços",D5074)))</formula>
    </cfRule>
  </conditionalFormatting>
  <conditionalFormatting sqref="D5076">
    <cfRule type="containsText" dxfId="685" priority="1919" operator="containsText" text="Pesquisa de Preços">
      <formula>NOT(ISERROR(SEARCH("Pesquisa de Preços",D5076)))</formula>
    </cfRule>
  </conditionalFormatting>
  <conditionalFormatting sqref="D5084">
    <cfRule type="containsText" dxfId="684" priority="1906" operator="containsText" text="Pesquisa de Preços">
      <formula>NOT(ISERROR(SEARCH("Pesquisa de Preços",D5084)))</formula>
    </cfRule>
  </conditionalFormatting>
  <conditionalFormatting sqref="D5080">
    <cfRule type="containsText" dxfId="683" priority="1914" operator="containsText" text="Pesquisa de Preços">
      <formula>NOT(ISERROR(SEARCH("Pesquisa de Preços",D5080)))</formula>
    </cfRule>
  </conditionalFormatting>
  <conditionalFormatting sqref="D5082">
    <cfRule type="containsText" dxfId="682" priority="1907" operator="containsText" text="Pesquisa de Preços">
      <formula>NOT(ISERROR(SEARCH("Pesquisa de Preços",D5082)))</formula>
    </cfRule>
  </conditionalFormatting>
  <conditionalFormatting sqref="D5122">
    <cfRule type="containsText" dxfId="681" priority="1858" operator="containsText" text="Pesquisa de Preços">
      <formula>NOT(ISERROR(SEARCH("Pesquisa de Preços",D5122)))</formula>
    </cfRule>
  </conditionalFormatting>
  <conditionalFormatting sqref="D5086">
    <cfRule type="containsText" dxfId="680" priority="1888" operator="containsText" text="Pesquisa de Preços">
      <formula>NOT(ISERROR(SEARCH("Pesquisa de Preços",D5086)))</formula>
    </cfRule>
  </conditionalFormatting>
  <conditionalFormatting sqref="D5090">
    <cfRule type="containsText" dxfId="679" priority="1885" operator="containsText" text="Pesquisa de Preços">
      <formula>NOT(ISERROR(SEARCH("Pesquisa de Preços",D5090)))</formula>
    </cfRule>
  </conditionalFormatting>
  <conditionalFormatting sqref="D5087 D5091:D5092">
    <cfRule type="containsText" dxfId="678" priority="1887" operator="containsText" text="Pesquisa de Preços">
      <formula>NOT(ISERROR(SEARCH("Pesquisa de Preços",D5087)))</formula>
    </cfRule>
  </conditionalFormatting>
  <conditionalFormatting sqref="D5088">
    <cfRule type="containsText" dxfId="677" priority="1886" operator="containsText" text="Pesquisa de Preços">
      <formula>NOT(ISERROR(SEARCH("Pesquisa de Preços",D5088)))</formula>
    </cfRule>
  </conditionalFormatting>
  <conditionalFormatting sqref="E5092">
    <cfRule type="containsText" dxfId="676" priority="1884" operator="containsText" text="Pesquisa de Preços">
      <formula>NOT(ISERROR(SEARCH("Pesquisa de Preços",E5092)))</formula>
    </cfRule>
  </conditionalFormatting>
  <conditionalFormatting sqref="D5093">
    <cfRule type="containsText" dxfId="675" priority="1880" operator="containsText" text="Pesquisa de Preços">
      <formula>NOT(ISERROR(SEARCH("Pesquisa de Preços",D5093)))</formula>
    </cfRule>
  </conditionalFormatting>
  <conditionalFormatting sqref="D5096">
    <cfRule type="containsText" dxfId="674" priority="1877" operator="containsText" text="Pesquisa de Preços">
      <formula>NOT(ISERROR(SEARCH("Pesquisa de Preços",D5096)))</formula>
    </cfRule>
  </conditionalFormatting>
  <conditionalFormatting sqref="D5094">
    <cfRule type="containsText" dxfId="673" priority="1879" operator="containsText" text="Pesquisa de Preços">
      <formula>NOT(ISERROR(SEARCH("Pesquisa de Preços",D5094)))</formula>
    </cfRule>
  </conditionalFormatting>
  <conditionalFormatting sqref="D5095">
    <cfRule type="containsText" dxfId="672" priority="1878" operator="containsText" text="Pesquisa de Preços">
      <formula>NOT(ISERROR(SEARCH("Pesquisa de Preços",D5095)))</formula>
    </cfRule>
  </conditionalFormatting>
  <conditionalFormatting sqref="E5104">
    <cfRule type="containsText" dxfId="671" priority="1876" operator="containsText" text="Pesquisa de Preços">
      <formula>NOT(ISERROR(SEARCH("Pesquisa de Preços",E5104)))</formula>
    </cfRule>
  </conditionalFormatting>
  <conditionalFormatting sqref="D5113">
    <cfRule type="containsText" dxfId="670" priority="1872" operator="containsText" text="Pesquisa de Preços">
      <formula>NOT(ISERROR(SEARCH("Pesquisa de Preços",D5113)))</formula>
    </cfRule>
  </conditionalFormatting>
  <conditionalFormatting sqref="D5116">
    <cfRule type="containsText" dxfId="669" priority="1869" operator="containsText" text="Pesquisa de Preços">
      <formula>NOT(ISERROR(SEARCH("Pesquisa de Preços",D5116)))</formula>
    </cfRule>
  </conditionalFormatting>
  <conditionalFormatting sqref="D5114 D5117:D5118">
    <cfRule type="containsText" dxfId="668" priority="1871" operator="containsText" text="Pesquisa de Preços">
      <formula>NOT(ISERROR(SEARCH("Pesquisa de Preços",D5114)))</formula>
    </cfRule>
  </conditionalFormatting>
  <conditionalFormatting sqref="D5115">
    <cfRule type="containsText" dxfId="667" priority="1870" operator="containsText" text="Pesquisa de Preços">
      <formula>NOT(ISERROR(SEARCH("Pesquisa de Preços",D5115)))</formula>
    </cfRule>
  </conditionalFormatting>
  <conditionalFormatting sqref="E5118">
    <cfRule type="containsText" dxfId="666" priority="1868" operator="containsText" text="Pesquisa de Preços">
      <formula>NOT(ISERROR(SEARCH("Pesquisa de Preços",E5118)))</formula>
    </cfRule>
  </conditionalFormatting>
  <conditionalFormatting sqref="D5119">
    <cfRule type="containsText" dxfId="665" priority="1864" operator="containsText" text="Pesquisa de Preços">
      <formula>NOT(ISERROR(SEARCH("Pesquisa de Preços",D5119)))</formula>
    </cfRule>
  </conditionalFormatting>
  <conditionalFormatting sqref="D5124">
    <cfRule type="containsText" dxfId="664" priority="1861" operator="containsText" text="Pesquisa de Preços">
      <formula>NOT(ISERROR(SEARCH("Pesquisa de Preços",D5124)))</formula>
    </cfRule>
  </conditionalFormatting>
  <conditionalFormatting sqref="D5121">
    <cfRule type="containsText" dxfId="663" priority="1855" operator="containsText" text="Pesquisa de Preços">
      <formula>NOT(ISERROR(SEARCH("Pesquisa de Preços",D5121)))</formula>
    </cfRule>
  </conditionalFormatting>
  <conditionalFormatting sqref="D5100">
    <cfRule type="containsText" dxfId="662" priority="1854" operator="containsText" text="Pesquisa de Preços">
      <formula>NOT(ISERROR(SEARCH("Pesquisa de Preços",D5100)))</formula>
    </cfRule>
  </conditionalFormatting>
  <conditionalFormatting sqref="D5099">
    <cfRule type="containsText" dxfId="661" priority="1850" operator="containsText" text="Pesquisa de Preços">
      <formula>NOT(ISERROR(SEARCH("Pesquisa de Preços",D5099)))</formula>
    </cfRule>
  </conditionalFormatting>
  <conditionalFormatting sqref="D5098">
    <cfRule type="containsText" dxfId="660" priority="1851" operator="containsText" text="Pesquisa de Preços">
      <formula>NOT(ISERROR(SEARCH("Pesquisa de Preços",D5098)))</formula>
    </cfRule>
  </conditionalFormatting>
  <conditionalFormatting sqref="E1060">
    <cfRule type="containsText" dxfId="659" priority="1849" operator="containsText" text="Pesquisa de Preços">
      <formula>NOT(ISERROR(SEARCH("Pesquisa de Preços",E1060)))</formula>
    </cfRule>
  </conditionalFormatting>
  <conditionalFormatting sqref="E1059">
    <cfRule type="containsText" dxfId="658" priority="1848" operator="containsText" text="Pesquisa de Preços">
      <formula>NOT(ISERROR(SEARCH("Pesquisa de Preços",E1059)))</formula>
    </cfRule>
  </conditionalFormatting>
  <conditionalFormatting sqref="E1158">
    <cfRule type="containsText" dxfId="657" priority="1847" operator="containsText" text="Pesquisa de Preços">
      <formula>NOT(ISERROR(SEARCH("Pesquisa de Preços",E1158)))</formula>
    </cfRule>
  </conditionalFormatting>
  <conditionalFormatting sqref="E1156:E1157">
    <cfRule type="containsText" dxfId="656" priority="1846" operator="containsText" text="Pesquisa de Preços">
      <formula>NOT(ISERROR(SEARCH("Pesquisa de Preços",E1156)))</formula>
    </cfRule>
  </conditionalFormatting>
  <conditionalFormatting sqref="E1173">
    <cfRule type="containsText" dxfId="655" priority="1845" operator="containsText" text="Pesquisa de Preços">
      <formula>NOT(ISERROR(SEARCH("Pesquisa de Preços",E1173)))</formula>
    </cfRule>
  </conditionalFormatting>
  <conditionalFormatting sqref="E1171:E1172">
    <cfRule type="containsText" dxfId="654" priority="1844" operator="containsText" text="Pesquisa de Preços">
      <formula>NOT(ISERROR(SEARCH("Pesquisa de Preços",E1171)))</formula>
    </cfRule>
  </conditionalFormatting>
  <conditionalFormatting sqref="E1187">
    <cfRule type="containsText" dxfId="653" priority="1843" operator="containsText" text="Pesquisa de Preços">
      <formula>NOT(ISERROR(SEARCH("Pesquisa de Preços",E1187)))</formula>
    </cfRule>
  </conditionalFormatting>
  <conditionalFormatting sqref="E1185:E1186">
    <cfRule type="containsText" dxfId="652" priority="1842" operator="containsText" text="Pesquisa de Preços">
      <formula>NOT(ISERROR(SEARCH("Pesquisa de Preços",E1185)))</formula>
    </cfRule>
  </conditionalFormatting>
  <conditionalFormatting sqref="E1194">
    <cfRule type="containsText" dxfId="651" priority="1841" operator="containsText" text="Pesquisa de Preços">
      <formula>NOT(ISERROR(SEARCH("Pesquisa de Preços",E1194)))</formula>
    </cfRule>
  </conditionalFormatting>
  <conditionalFormatting sqref="E1192:E1193">
    <cfRule type="containsText" dxfId="650" priority="1840" operator="containsText" text="Pesquisa de Preços">
      <formula>NOT(ISERROR(SEARCH("Pesquisa de Preços",E1192)))</formula>
    </cfRule>
  </conditionalFormatting>
  <conditionalFormatting sqref="E1201">
    <cfRule type="containsText" dxfId="649" priority="1839" operator="containsText" text="Pesquisa de Preços">
      <formula>NOT(ISERROR(SEARCH("Pesquisa de Preços",E1201)))</formula>
    </cfRule>
  </conditionalFormatting>
  <conditionalFormatting sqref="E1199:E1200">
    <cfRule type="containsText" dxfId="648" priority="1838" operator="containsText" text="Pesquisa de Preços">
      <formula>NOT(ISERROR(SEARCH("Pesquisa de Preços",E1199)))</formula>
    </cfRule>
  </conditionalFormatting>
  <conditionalFormatting sqref="D619">
    <cfRule type="containsText" dxfId="647" priority="1824" operator="containsText" text="Pesquisa de Preços">
      <formula>NOT(ISERROR(SEARCH("Pesquisa de Preços",D619)))</formula>
    </cfRule>
  </conditionalFormatting>
  <conditionalFormatting sqref="D617:D618">
    <cfRule type="containsText" dxfId="646" priority="1823" operator="containsText" text="Pesquisa de Preços">
      <formula>NOT(ISERROR(SEARCH("Pesquisa de Preços",D617)))</formula>
    </cfRule>
  </conditionalFormatting>
  <conditionalFormatting sqref="E619">
    <cfRule type="containsText" dxfId="645" priority="1822" operator="containsText" text="Pesquisa de Preços">
      <formula>NOT(ISERROR(SEARCH("Pesquisa de Preços",E619)))</formula>
    </cfRule>
  </conditionalFormatting>
  <conditionalFormatting sqref="E617:E618">
    <cfRule type="containsText" dxfId="644" priority="1821" operator="containsText" text="Pesquisa de Preços">
      <formula>NOT(ISERROR(SEARCH("Pesquisa de Preços",E617)))</formula>
    </cfRule>
  </conditionalFormatting>
  <conditionalFormatting sqref="D266">
    <cfRule type="containsText" dxfId="643" priority="1809" operator="containsText" text="Pesquisa de Preços">
      <formula>NOT(ISERROR(SEARCH("Pesquisa de Preços",D266)))</formula>
    </cfRule>
  </conditionalFormatting>
  <conditionalFormatting sqref="E266">
    <cfRule type="containsText" dxfId="642" priority="1808" operator="containsText" text="Pesquisa de Preços">
      <formula>NOT(ISERROR(SEARCH("Pesquisa de Preços",E266)))</formula>
    </cfRule>
  </conditionalFormatting>
  <conditionalFormatting sqref="D2128">
    <cfRule type="containsText" dxfId="641" priority="1805" operator="containsText" text="Pesquisa de Preços">
      <formula>NOT(ISERROR(SEARCH("Pesquisa de Preços",D2128)))</formula>
    </cfRule>
  </conditionalFormatting>
  <conditionalFormatting sqref="E2128">
    <cfRule type="containsText" dxfId="640" priority="1804" operator="containsText" text="Pesquisa de Preços">
      <formula>NOT(ISERROR(SEARCH("Pesquisa de Preços",E2128)))</formula>
    </cfRule>
  </conditionalFormatting>
  <conditionalFormatting sqref="D2134">
    <cfRule type="containsText" dxfId="639" priority="1801" operator="containsText" text="Pesquisa de Preços">
      <formula>NOT(ISERROR(SEARCH("Pesquisa de Preços",D2134)))</formula>
    </cfRule>
  </conditionalFormatting>
  <conditionalFormatting sqref="D5112">
    <cfRule type="containsText" dxfId="638" priority="1791" operator="containsText" text="Pesquisa de Preços">
      <formula>NOT(ISERROR(SEARCH("Pesquisa de Preços",D5112)))</formula>
    </cfRule>
  </conditionalFormatting>
  <conditionalFormatting sqref="E5105">
    <cfRule type="containsText" dxfId="637" priority="1784" operator="containsText" text="Pesquisa de Preços">
      <formula>NOT(ISERROR(SEARCH("Pesquisa de Preços",E5105)))</formula>
    </cfRule>
  </conditionalFormatting>
  <conditionalFormatting sqref="E5112">
    <cfRule type="containsText" dxfId="636" priority="1788" operator="containsText" text="Pesquisa de Preços">
      <formula>NOT(ISERROR(SEARCH("Pesquisa de Preços",E5112)))</formula>
    </cfRule>
  </conditionalFormatting>
  <conditionalFormatting sqref="D5105">
    <cfRule type="containsText" dxfId="635" priority="1779" operator="containsText" text="Pesquisa de Preços">
      <formula>NOT(ISERROR(SEARCH("Pesquisa de Preços",D5105)))</formula>
    </cfRule>
  </conditionalFormatting>
  <conditionalFormatting sqref="D5130">
    <cfRule type="containsText" dxfId="634" priority="1762" operator="containsText" text="Pesquisa de Preços">
      <formula>NOT(ISERROR(SEARCH("Pesquisa de Preços",D5130)))</formula>
    </cfRule>
  </conditionalFormatting>
  <conditionalFormatting sqref="D5128">
    <cfRule type="containsText" dxfId="633" priority="1763" operator="containsText" text="Pesquisa de Preços">
      <formula>NOT(ISERROR(SEARCH("Pesquisa de Preços",D5128)))</formula>
    </cfRule>
  </conditionalFormatting>
  <conditionalFormatting sqref="D5136">
    <cfRule type="containsText" dxfId="632" priority="1750" operator="containsText" text="Pesquisa de Preços">
      <formula>NOT(ISERROR(SEARCH("Pesquisa de Preços",D5136)))</formula>
    </cfRule>
  </conditionalFormatting>
  <conditionalFormatting sqref="D5134">
    <cfRule type="containsText" dxfId="631" priority="1751" operator="containsText" text="Pesquisa de Preços">
      <formula>NOT(ISERROR(SEARCH("Pesquisa de Preços",D5134)))</formula>
    </cfRule>
  </conditionalFormatting>
  <conditionalFormatting sqref="D5126">
    <cfRule type="containsText" dxfId="630" priority="1742" operator="containsText" text="Pesquisa de Preços">
      <formula>NOT(ISERROR(SEARCH("Pesquisa de Preços",D5126)))</formula>
    </cfRule>
  </conditionalFormatting>
  <conditionalFormatting sqref="D5132">
    <cfRule type="containsText" dxfId="629" priority="1741" operator="containsText" text="Pesquisa de Preços">
      <formula>NOT(ISERROR(SEARCH("Pesquisa de Preços",D5132)))</formula>
    </cfRule>
  </conditionalFormatting>
  <conditionalFormatting sqref="D2402">
    <cfRule type="containsText" dxfId="628" priority="1735" operator="containsText" text="Pesquisa de Preços">
      <formula>NOT(ISERROR(SEARCH("Pesquisa de Preços",D2402)))</formula>
    </cfRule>
  </conditionalFormatting>
  <conditionalFormatting sqref="D2399">
    <cfRule type="containsText" dxfId="627" priority="1734" operator="containsText" text="Pesquisa de Preços">
      <formula>NOT(ISERROR(SEARCH("Pesquisa de Preços",D2399)))</formula>
    </cfRule>
  </conditionalFormatting>
  <conditionalFormatting sqref="E2402">
    <cfRule type="containsText" dxfId="626" priority="1733" operator="containsText" text="Pesquisa de Preços">
      <formula>NOT(ISERROR(SEARCH("Pesquisa de Preços",E2402)))</formula>
    </cfRule>
  </conditionalFormatting>
  <conditionalFormatting sqref="D2406">
    <cfRule type="containsText" dxfId="625" priority="1730" operator="containsText" text="Pesquisa de Preços">
      <formula>NOT(ISERROR(SEARCH("Pesquisa de Preços",D2406)))</formula>
    </cfRule>
  </conditionalFormatting>
  <conditionalFormatting sqref="D2403">
    <cfRule type="containsText" dxfId="624" priority="1729" operator="containsText" text="Pesquisa de Preços">
      <formula>NOT(ISERROR(SEARCH("Pesquisa de Preços",D2403)))</formula>
    </cfRule>
  </conditionalFormatting>
  <conditionalFormatting sqref="E2406">
    <cfRule type="containsText" dxfId="623" priority="1728" operator="containsText" text="Pesquisa de Preços">
      <formula>NOT(ISERROR(SEARCH("Pesquisa de Preços",E2406)))</formula>
    </cfRule>
  </conditionalFormatting>
  <conditionalFormatting sqref="D2414">
    <cfRule type="containsText" dxfId="622" priority="1725" operator="containsText" text="Pesquisa de Preços">
      <formula>NOT(ISERROR(SEARCH("Pesquisa de Preços",D2414)))</formula>
    </cfRule>
  </conditionalFormatting>
  <conditionalFormatting sqref="D2411">
    <cfRule type="containsText" dxfId="621" priority="1724" operator="containsText" text="Pesquisa de Preços">
      <formula>NOT(ISERROR(SEARCH("Pesquisa de Preços",D2411)))</formula>
    </cfRule>
  </conditionalFormatting>
  <conditionalFormatting sqref="E2414">
    <cfRule type="containsText" dxfId="620" priority="1723" operator="containsText" text="Pesquisa de Preços">
      <formula>NOT(ISERROR(SEARCH("Pesquisa de Preços",E2414)))</formula>
    </cfRule>
  </conditionalFormatting>
  <conditionalFormatting sqref="D2418">
    <cfRule type="containsText" dxfId="619" priority="1720" operator="containsText" text="Pesquisa de Preços">
      <formula>NOT(ISERROR(SEARCH("Pesquisa de Preços",D2418)))</formula>
    </cfRule>
  </conditionalFormatting>
  <conditionalFormatting sqref="D2415">
    <cfRule type="containsText" dxfId="618" priority="1719" operator="containsText" text="Pesquisa de Preços">
      <formula>NOT(ISERROR(SEARCH("Pesquisa de Preços",D2415)))</formula>
    </cfRule>
  </conditionalFormatting>
  <conditionalFormatting sqref="E2418">
    <cfRule type="containsText" dxfId="617" priority="1718" operator="containsText" text="Pesquisa de Preços">
      <formula>NOT(ISERROR(SEARCH("Pesquisa de Preços",E2418)))</formula>
    </cfRule>
  </conditionalFormatting>
  <conditionalFormatting sqref="D2422">
    <cfRule type="containsText" dxfId="616" priority="1715" operator="containsText" text="Pesquisa de Preços">
      <formula>NOT(ISERROR(SEARCH("Pesquisa de Preços",D2422)))</formula>
    </cfRule>
  </conditionalFormatting>
  <conditionalFormatting sqref="D2419">
    <cfRule type="containsText" dxfId="615" priority="1714" operator="containsText" text="Pesquisa de Preços">
      <formula>NOT(ISERROR(SEARCH("Pesquisa de Preços",D2419)))</formula>
    </cfRule>
  </conditionalFormatting>
  <conditionalFormatting sqref="E2422">
    <cfRule type="containsText" dxfId="614" priority="1713" operator="containsText" text="Pesquisa de Preços">
      <formula>NOT(ISERROR(SEARCH("Pesquisa de Preços",E2422)))</formula>
    </cfRule>
  </conditionalFormatting>
  <conditionalFormatting sqref="D2426">
    <cfRule type="containsText" dxfId="613" priority="1710" operator="containsText" text="Pesquisa de Preços">
      <formula>NOT(ISERROR(SEARCH("Pesquisa de Preços",D2426)))</formula>
    </cfRule>
  </conditionalFormatting>
  <conditionalFormatting sqref="D2423">
    <cfRule type="containsText" dxfId="612" priority="1709" operator="containsText" text="Pesquisa de Preços">
      <formula>NOT(ISERROR(SEARCH("Pesquisa de Preços",D2423)))</formula>
    </cfRule>
  </conditionalFormatting>
  <conditionalFormatting sqref="E2426">
    <cfRule type="containsText" dxfId="611" priority="1708" operator="containsText" text="Pesquisa de Preços">
      <formula>NOT(ISERROR(SEARCH("Pesquisa de Preços",E2426)))</formula>
    </cfRule>
  </conditionalFormatting>
  <conditionalFormatting sqref="D2430">
    <cfRule type="containsText" dxfId="610" priority="1705" operator="containsText" text="Pesquisa de Preços">
      <formula>NOT(ISERROR(SEARCH("Pesquisa de Preços",D2430)))</formula>
    </cfRule>
  </conditionalFormatting>
  <conditionalFormatting sqref="D2427">
    <cfRule type="containsText" dxfId="609" priority="1704" operator="containsText" text="Pesquisa de Preços">
      <formula>NOT(ISERROR(SEARCH("Pesquisa de Preços",D2427)))</formula>
    </cfRule>
  </conditionalFormatting>
  <conditionalFormatting sqref="E2430">
    <cfRule type="containsText" dxfId="608" priority="1703" operator="containsText" text="Pesquisa de Preços">
      <formula>NOT(ISERROR(SEARCH("Pesquisa de Preços",E2430)))</formula>
    </cfRule>
  </conditionalFormatting>
  <conditionalFormatting sqref="D2434">
    <cfRule type="containsText" dxfId="607" priority="1700" operator="containsText" text="Pesquisa de Preços">
      <formula>NOT(ISERROR(SEARCH("Pesquisa de Preços",D2434)))</formula>
    </cfRule>
  </conditionalFormatting>
  <conditionalFormatting sqref="D2431">
    <cfRule type="containsText" dxfId="606" priority="1699" operator="containsText" text="Pesquisa de Preços">
      <formula>NOT(ISERROR(SEARCH("Pesquisa de Preços",D2431)))</formula>
    </cfRule>
  </conditionalFormatting>
  <conditionalFormatting sqref="E2434">
    <cfRule type="containsText" dxfId="605" priority="1698" operator="containsText" text="Pesquisa de Preços">
      <formula>NOT(ISERROR(SEARCH("Pesquisa de Preços",E2434)))</formula>
    </cfRule>
  </conditionalFormatting>
  <conditionalFormatting sqref="D2439">
    <cfRule type="containsText" dxfId="604" priority="1694" operator="containsText" text="Pesquisa de Preços">
      <formula>NOT(ISERROR(SEARCH("Pesquisa de Preços",D2439)))</formula>
    </cfRule>
  </conditionalFormatting>
  <conditionalFormatting sqref="D2443">
    <cfRule type="containsText" dxfId="603" priority="1690" operator="containsText" text="Pesquisa de Preços">
      <formula>NOT(ISERROR(SEARCH("Pesquisa de Preços",D2443)))</formula>
    </cfRule>
  </conditionalFormatting>
  <conditionalFormatting sqref="D2455">
    <cfRule type="containsText" dxfId="602" priority="1686" operator="containsText" text="Pesquisa de Preços">
      <formula>NOT(ISERROR(SEARCH("Pesquisa de Preços",D2455)))</formula>
    </cfRule>
  </conditionalFormatting>
  <conditionalFormatting sqref="D2459">
    <cfRule type="containsText" dxfId="601" priority="1682" operator="containsText" text="Pesquisa de Preços">
      <formula>NOT(ISERROR(SEARCH("Pesquisa de Preços",D2459)))</formula>
    </cfRule>
  </conditionalFormatting>
  <conditionalFormatting sqref="D2463">
    <cfRule type="containsText" dxfId="600" priority="1678" operator="containsText" text="Pesquisa de Preços">
      <formula>NOT(ISERROR(SEARCH("Pesquisa de Preços",D2463)))</formula>
    </cfRule>
  </conditionalFormatting>
  <conditionalFormatting sqref="D2467">
    <cfRule type="containsText" dxfId="599" priority="1674" operator="containsText" text="Pesquisa de Preços">
      <formula>NOT(ISERROR(SEARCH("Pesquisa de Preços",D2467)))</formula>
    </cfRule>
  </conditionalFormatting>
  <conditionalFormatting sqref="D2471">
    <cfRule type="containsText" dxfId="598" priority="1670" operator="containsText" text="Pesquisa de Preços">
      <formula>NOT(ISERROR(SEARCH("Pesquisa de Preços",D2471)))</formula>
    </cfRule>
  </conditionalFormatting>
  <conditionalFormatting sqref="D2475">
    <cfRule type="containsText" dxfId="597" priority="1666" operator="containsText" text="Pesquisa de Preços">
      <formula>NOT(ISERROR(SEARCH("Pesquisa de Preços",D2475)))</formula>
    </cfRule>
  </conditionalFormatting>
  <conditionalFormatting sqref="D2479">
    <cfRule type="containsText" dxfId="596" priority="1662" operator="containsText" text="Pesquisa de Preços">
      <formula>NOT(ISERROR(SEARCH("Pesquisa de Preços",D2479)))</formula>
    </cfRule>
  </conditionalFormatting>
  <conditionalFormatting sqref="D2483">
    <cfRule type="containsText" dxfId="595" priority="1658" operator="containsText" text="Pesquisa de Preços">
      <formula>NOT(ISERROR(SEARCH("Pesquisa de Preços",D2483)))</formula>
    </cfRule>
  </conditionalFormatting>
  <conditionalFormatting sqref="D2487">
    <cfRule type="containsText" dxfId="594" priority="1654" operator="containsText" text="Pesquisa de Preços">
      <formula>NOT(ISERROR(SEARCH("Pesquisa de Preços",D2487)))</formula>
    </cfRule>
  </conditionalFormatting>
  <conditionalFormatting sqref="D2491">
    <cfRule type="containsText" dxfId="593" priority="1650" operator="containsText" text="Pesquisa de Preços">
      <formula>NOT(ISERROR(SEARCH("Pesquisa de Preços",D2491)))</formula>
    </cfRule>
  </conditionalFormatting>
  <conditionalFormatting sqref="D2495">
    <cfRule type="containsText" dxfId="592" priority="1646" operator="containsText" text="Pesquisa de Preços">
      <formula>NOT(ISERROR(SEARCH("Pesquisa de Preços",D2495)))</formula>
    </cfRule>
  </conditionalFormatting>
  <conditionalFormatting sqref="D2499">
    <cfRule type="containsText" dxfId="591" priority="1640" operator="containsText" text="Pesquisa de Preços">
      <formula>NOT(ISERROR(SEARCH("Pesquisa de Preços",D2499)))</formula>
    </cfRule>
  </conditionalFormatting>
  <conditionalFormatting sqref="D2503">
    <cfRule type="containsText" dxfId="590" priority="1636" operator="containsText" text="Pesquisa de Preços">
      <formula>NOT(ISERROR(SEARCH("Pesquisa de Preços",D2503)))</formula>
    </cfRule>
  </conditionalFormatting>
  <conditionalFormatting sqref="D2507">
    <cfRule type="containsText" dxfId="589" priority="1632" operator="containsText" text="Pesquisa de Preços">
      <formula>NOT(ISERROR(SEARCH("Pesquisa de Preços",D2507)))</formula>
    </cfRule>
  </conditionalFormatting>
  <conditionalFormatting sqref="D2511">
    <cfRule type="containsText" dxfId="588" priority="1628" operator="containsText" text="Pesquisa de Preços">
      <formula>NOT(ISERROR(SEARCH("Pesquisa de Preços",D2511)))</formula>
    </cfRule>
  </conditionalFormatting>
  <conditionalFormatting sqref="D2515">
    <cfRule type="containsText" dxfId="587" priority="1624" operator="containsText" text="Pesquisa de Preços">
      <formula>NOT(ISERROR(SEARCH("Pesquisa de Preços",D2515)))</formula>
    </cfRule>
  </conditionalFormatting>
  <conditionalFormatting sqref="D2519">
    <cfRule type="containsText" dxfId="586" priority="1620" operator="containsText" text="Pesquisa de Preços">
      <formula>NOT(ISERROR(SEARCH("Pesquisa de Preços",D2519)))</formula>
    </cfRule>
  </conditionalFormatting>
  <conditionalFormatting sqref="D2523">
    <cfRule type="containsText" dxfId="585" priority="1616" operator="containsText" text="Pesquisa de Preços">
      <formula>NOT(ISERROR(SEARCH("Pesquisa de Preços",D2523)))</formula>
    </cfRule>
  </conditionalFormatting>
  <conditionalFormatting sqref="D2527">
    <cfRule type="containsText" dxfId="584" priority="1612" operator="containsText" text="Pesquisa de Preços">
      <formula>NOT(ISERROR(SEARCH("Pesquisa de Preços",D2527)))</formula>
    </cfRule>
  </conditionalFormatting>
  <conditionalFormatting sqref="D2531">
    <cfRule type="containsText" dxfId="583" priority="1608" operator="containsText" text="Pesquisa de Preços">
      <formula>NOT(ISERROR(SEARCH("Pesquisa de Preços",D2531)))</formula>
    </cfRule>
  </conditionalFormatting>
  <conditionalFormatting sqref="D2535">
    <cfRule type="containsText" dxfId="582" priority="1604" operator="containsText" text="Pesquisa de Preços">
      <formula>NOT(ISERROR(SEARCH("Pesquisa de Preços",D2535)))</formula>
    </cfRule>
  </conditionalFormatting>
  <conditionalFormatting sqref="D2539">
    <cfRule type="containsText" dxfId="581" priority="1600" operator="containsText" text="Pesquisa de Preços">
      <formula>NOT(ISERROR(SEARCH("Pesquisa de Preços",D2539)))</formula>
    </cfRule>
  </conditionalFormatting>
  <conditionalFormatting sqref="D2543">
    <cfRule type="containsText" dxfId="580" priority="1596" operator="containsText" text="Pesquisa de Preços">
      <formula>NOT(ISERROR(SEARCH("Pesquisa de Preços",D2543)))</formula>
    </cfRule>
  </conditionalFormatting>
  <conditionalFormatting sqref="D2643">
    <cfRule type="containsText" dxfId="579" priority="1582" operator="containsText" text="Pesquisa de Preços">
      <formula>NOT(ISERROR(SEARCH("Pesquisa de Preços",D2643)))</formula>
    </cfRule>
  </conditionalFormatting>
  <conditionalFormatting sqref="D2551">
    <cfRule type="containsText" dxfId="578" priority="1588" operator="containsText" text="Pesquisa de Preços">
      <formula>NOT(ISERROR(SEARCH("Pesquisa de Preços",D2551)))</formula>
    </cfRule>
  </conditionalFormatting>
  <conditionalFormatting sqref="D2547">
    <cfRule type="containsText" dxfId="577" priority="1584" operator="containsText" text="Pesquisa de Preços">
      <formula>NOT(ISERROR(SEARCH("Pesquisa de Preços",D2547)))</formula>
    </cfRule>
  </conditionalFormatting>
  <conditionalFormatting sqref="D2651">
    <cfRule type="containsText" dxfId="576" priority="1578" operator="containsText" text="Pesquisa de Preços">
      <formula>NOT(ISERROR(SEARCH("Pesquisa de Preços",D2651)))</formula>
    </cfRule>
  </conditionalFormatting>
  <conditionalFormatting sqref="D2447">
    <cfRule type="containsText" dxfId="575" priority="1574" operator="containsText" text="Pesquisa de Preços">
      <formula>NOT(ISERROR(SEARCH("Pesquisa de Preços",D2447)))</formula>
    </cfRule>
  </conditionalFormatting>
  <conditionalFormatting sqref="D2451">
    <cfRule type="containsText" dxfId="574" priority="1570" operator="containsText" text="Pesquisa de Preços">
      <formula>NOT(ISERROR(SEARCH("Pesquisa de Preços",D2451)))</formula>
    </cfRule>
  </conditionalFormatting>
  <conditionalFormatting sqref="D5152">
    <cfRule type="containsText" dxfId="573" priority="1553" operator="containsText" text="Pesquisa de Preços">
      <formula>NOT(ISERROR(SEARCH("Pesquisa de Preços",D5152)))</formula>
    </cfRule>
  </conditionalFormatting>
  <conditionalFormatting sqref="D5154">
    <cfRule type="containsText" dxfId="572" priority="1552" operator="containsText" text="Pesquisa de Preços">
      <formula>NOT(ISERROR(SEARCH("Pesquisa de Preços",D5154)))</formula>
    </cfRule>
  </conditionalFormatting>
  <conditionalFormatting sqref="D5150">
    <cfRule type="containsText" dxfId="571" priority="1560" operator="containsText" text="Pesquisa de Preços">
      <formula>NOT(ISERROR(SEARCH("Pesquisa de Preços",D5150)))</formula>
    </cfRule>
  </conditionalFormatting>
  <conditionalFormatting sqref="D5146">
    <cfRule type="containsText" dxfId="570" priority="1541" operator="containsText" text="Pesquisa de Preços">
      <formula>NOT(ISERROR(SEARCH("Pesquisa de Preços",D5146)))</formula>
    </cfRule>
  </conditionalFormatting>
  <conditionalFormatting sqref="D5148">
    <cfRule type="containsText" dxfId="569" priority="1540" operator="containsText" text="Pesquisa de Preços">
      <formula>NOT(ISERROR(SEARCH("Pesquisa de Preços",D5148)))</formula>
    </cfRule>
  </conditionalFormatting>
  <conditionalFormatting sqref="D5144">
    <cfRule type="containsText" dxfId="568" priority="1548" operator="containsText" text="Pesquisa de Preços">
      <formula>NOT(ISERROR(SEARCH("Pesquisa de Preços",D5144)))</formula>
    </cfRule>
  </conditionalFormatting>
  <conditionalFormatting sqref="D5164">
    <cfRule type="containsText" dxfId="567" priority="1529" operator="containsText" text="Pesquisa de Preços">
      <formula>NOT(ISERROR(SEARCH("Pesquisa de Preços",D5164)))</formula>
    </cfRule>
  </conditionalFormatting>
  <conditionalFormatting sqref="D5166">
    <cfRule type="containsText" dxfId="566" priority="1528" operator="containsText" text="Pesquisa de Preços">
      <formula>NOT(ISERROR(SEARCH("Pesquisa de Preços",D5166)))</formula>
    </cfRule>
  </conditionalFormatting>
  <conditionalFormatting sqref="D5162">
    <cfRule type="containsText" dxfId="565" priority="1536" operator="containsText" text="Pesquisa de Preços">
      <formula>NOT(ISERROR(SEARCH("Pesquisa de Preços",D5162)))</formula>
    </cfRule>
  </conditionalFormatting>
  <conditionalFormatting sqref="D5158">
    <cfRule type="containsText" dxfId="564" priority="1517" operator="containsText" text="Pesquisa de Preços">
      <formula>NOT(ISERROR(SEARCH("Pesquisa de Preços",D5158)))</formula>
    </cfRule>
  </conditionalFormatting>
  <conditionalFormatting sqref="D5160">
    <cfRule type="containsText" dxfId="563" priority="1516" operator="containsText" text="Pesquisa de Preços">
      <formula>NOT(ISERROR(SEARCH("Pesquisa de Preços",D5160)))</formula>
    </cfRule>
  </conditionalFormatting>
  <conditionalFormatting sqref="D5156">
    <cfRule type="containsText" dxfId="562" priority="1524" operator="containsText" text="Pesquisa de Preços">
      <formula>NOT(ISERROR(SEARCH("Pesquisa de Preços",D5156)))</formula>
    </cfRule>
  </conditionalFormatting>
  <conditionalFormatting sqref="D5168">
    <cfRule type="containsText" dxfId="561" priority="1512" operator="containsText" text="Pesquisa de Preços">
      <formula>NOT(ISERROR(SEARCH("Pesquisa de Preços",D5168)))</formula>
    </cfRule>
  </conditionalFormatting>
  <conditionalFormatting sqref="D5169:D5170 D5173:D5174">
    <cfRule type="containsText" dxfId="560" priority="1511" operator="containsText" text="Pesquisa de Preços">
      <formula>NOT(ISERROR(SEARCH("Pesquisa de Preços",D5169)))</formula>
    </cfRule>
  </conditionalFormatting>
  <conditionalFormatting sqref="D5171:D5172">
    <cfRule type="containsText" dxfId="559" priority="1510" operator="containsText" text="Pesquisa de Preços">
      <formula>NOT(ISERROR(SEARCH("Pesquisa de Preços",D5171)))</formula>
    </cfRule>
  </conditionalFormatting>
  <conditionalFormatting sqref="E5169:E5170 E5173:E5174">
    <cfRule type="containsText" dxfId="558" priority="1509" operator="containsText" text="Pesquisa de Preços">
      <formula>NOT(ISERROR(SEARCH("Pesquisa de Preços",E5169)))</formula>
    </cfRule>
  </conditionalFormatting>
  <conditionalFormatting sqref="E5168">
    <cfRule type="containsText" dxfId="557" priority="1508" operator="containsText" text="Pesquisa de Preços">
      <formula>NOT(ISERROR(SEARCH("Pesquisa de Preços",E5168)))</formula>
    </cfRule>
  </conditionalFormatting>
  <conditionalFormatting sqref="E5171:E5172">
    <cfRule type="containsText" dxfId="556" priority="1507" operator="containsText" text="Pesquisa de Preços">
      <formula>NOT(ISERROR(SEARCH("Pesquisa de Preços",E5171)))</formula>
    </cfRule>
  </conditionalFormatting>
  <conditionalFormatting sqref="D5899">
    <cfRule type="containsText" dxfId="555" priority="1035" operator="containsText" text="Pesquisa de Preços">
      <formula>NOT(ISERROR(SEARCH("Pesquisa de Preços",D5899)))</formula>
    </cfRule>
  </conditionalFormatting>
  <conditionalFormatting sqref="D5399">
    <cfRule type="containsText" dxfId="554" priority="908" operator="containsText" text="Pesquisa de Preços">
      <formula>NOT(ISERROR(SEARCH("Pesquisa de Preços",D5399)))</formula>
    </cfRule>
  </conditionalFormatting>
  <conditionalFormatting sqref="D5463">
    <cfRule type="containsText" dxfId="553" priority="1057" operator="containsText" text="Pesquisa de Preços">
      <formula>NOT(ISERROR(SEARCH("Pesquisa de Preços",D5463)))</formula>
    </cfRule>
  </conditionalFormatting>
  <conditionalFormatting sqref="D5467 D5471 D5475 D5479 D5483 D5487 D5491 D5495 D5499 D5503 D5507 D5511 D5515 D5519 D5523 D5527 D5531 D5535 D5539 D5543">
    <cfRule type="containsText" dxfId="552" priority="1055" operator="containsText" text="Pesquisa de Preços">
      <formula>NOT(ISERROR(SEARCH("Pesquisa de Preços",D5467)))</formula>
    </cfRule>
  </conditionalFormatting>
  <conditionalFormatting sqref="D5883">
    <cfRule type="containsText" dxfId="551" priority="1051" operator="containsText" text="Pesquisa de Preços">
      <formula>NOT(ISERROR(SEARCH("Pesquisa de Preços",D5883)))</formula>
    </cfRule>
  </conditionalFormatting>
  <conditionalFormatting sqref="D5887">
    <cfRule type="containsText" dxfId="550" priority="1047" operator="containsText" text="Pesquisa de Preços">
      <formula>NOT(ISERROR(SEARCH("Pesquisa de Preços",D5887)))</formula>
    </cfRule>
  </conditionalFormatting>
  <conditionalFormatting sqref="D5459">
    <cfRule type="containsText" dxfId="549" priority="1016" operator="containsText" text="Pesquisa de Preços">
      <formula>NOT(ISERROR(SEARCH("Pesquisa de Preços",D5459)))</formula>
    </cfRule>
  </conditionalFormatting>
  <conditionalFormatting sqref="D5948">
    <cfRule type="containsText" dxfId="548" priority="1027" operator="containsText" text="Pesquisa de Preços">
      <formula>NOT(ISERROR(SEARCH("Pesquisa de Preços",D5948)))</formula>
    </cfRule>
  </conditionalFormatting>
  <conditionalFormatting sqref="D2725">
    <cfRule type="containsText" dxfId="547" priority="1012" operator="containsText" text="Pesquisa de Preços">
      <formula>NOT(ISERROR(SEARCH("Pesquisa de Preços",D2725)))</formula>
    </cfRule>
  </conditionalFormatting>
  <conditionalFormatting sqref="D5455">
    <cfRule type="containsText" dxfId="546" priority="1018" operator="containsText" text="Pesquisa de Preços">
      <formula>NOT(ISERROR(SEARCH("Pesquisa de Preços",D5455)))</formula>
    </cfRule>
  </conditionalFormatting>
  <conditionalFormatting sqref="D5903">
    <cfRule type="containsText" dxfId="545" priority="1031" operator="containsText" text="Pesquisa de Preços">
      <formula>NOT(ISERROR(SEARCH("Pesquisa de Preços",D5903)))</formula>
    </cfRule>
  </conditionalFormatting>
  <conditionalFormatting sqref="D5944:D5947">
    <cfRule type="containsText" dxfId="544" priority="1025" operator="containsText" text="Pesquisa de Preços">
      <formula>NOT(ISERROR(SEARCH("Pesquisa de Preços",D5944)))</formula>
    </cfRule>
  </conditionalFormatting>
  <conditionalFormatting sqref="D5943">
    <cfRule type="containsText" dxfId="543" priority="1026" operator="containsText" text="Pesquisa de Preços">
      <formula>NOT(ISERROR(SEARCH("Pesquisa de Preços",D5943)))</formula>
    </cfRule>
  </conditionalFormatting>
  <conditionalFormatting sqref="D2721">
    <cfRule type="containsText" dxfId="542" priority="1457" operator="containsText" text="Pesquisa de Preços">
      <formula>NOT(ISERROR(SEARCH("Pesquisa de Preços",D2721)))</formula>
    </cfRule>
  </conditionalFormatting>
  <conditionalFormatting sqref="D2719">
    <cfRule type="containsText" dxfId="541" priority="1456" operator="containsText" text="Pesquisa de Preços">
      <formula>NOT(ISERROR(SEARCH("Pesquisa de Preços",D2719)))</formula>
    </cfRule>
  </conditionalFormatting>
  <conditionalFormatting sqref="D5915">
    <cfRule type="containsText" dxfId="540" priority="1295" operator="containsText" text="Pesquisa de Preços">
      <formula>NOT(ISERROR(SEARCH("Pesquisa de Preços",D5915)))</formula>
    </cfRule>
  </conditionalFormatting>
  <conditionalFormatting sqref="D5923">
    <cfRule type="containsText" dxfId="539" priority="1293" operator="containsText" text="Pesquisa de Preços">
      <formula>NOT(ISERROR(SEARCH("Pesquisa de Preços",D5923)))</formula>
    </cfRule>
  </conditionalFormatting>
  <conditionalFormatting sqref="D5911">
    <cfRule type="containsText" dxfId="538" priority="1296" operator="containsText" text="Pesquisa de Preços">
      <formula>NOT(ISERROR(SEARCH("Pesquisa de Preços",D5911)))</formula>
    </cfRule>
  </conditionalFormatting>
  <conditionalFormatting sqref="D5919">
    <cfRule type="containsText" dxfId="537" priority="1294" operator="containsText" text="Pesquisa de Preços">
      <formula>NOT(ISERROR(SEARCH("Pesquisa de Preços",D5919)))</formula>
    </cfRule>
  </conditionalFormatting>
  <conditionalFormatting sqref="D5711">
    <cfRule type="containsText" dxfId="536" priority="1356" operator="containsText" text="Pesquisa de Preços">
      <formula>NOT(ISERROR(SEARCH("Pesquisa de Preços",D5711)))</formula>
    </cfRule>
  </conditionalFormatting>
  <conditionalFormatting sqref="D5931">
    <cfRule type="containsText" dxfId="535" priority="1291" operator="containsText" text="Pesquisa de Preços">
      <formula>NOT(ISERROR(SEARCH("Pesquisa de Preços",D5931)))</formula>
    </cfRule>
  </conditionalFormatting>
  <conditionalFormatting sqref="D5715">
    <cfRule type="containsText" dxfId="534" priority="1352" operator="containsText" text="Pesquisa de Preços">
      <formula>NOT(ISERROR(SEARCH("Pesquisa de Preços",D5715)))</formula>
    </cfRule>
  </conditionalFormatting>
  <conditionalFormatting sqref="D5955">
    <cfRule type="containsText" dxfId="533" priority="1288" operator="containsText" text="Pesquisa de Preços">
      <formula>NOT(ISERROR(SEARCH("Pesquisa de Preços",D5955)))</formula>
    </cfRule>
  </conditionalFormatting>
  <conditionalFormatting sqref="D5719">
    <cfRule type="containsText" dxfId="532" priority="1348" operator="containsText" text="Pesquisa de Preços">
      <formula>NOT(ISERROR(SEARCH("Pesquisa de Preços",D5719)))</formula>
    </cfRule>
  </conditionalFormatting>
  <conditionalFormatting sqref="D5723">
    <cfRule type="containsText" dxfId="531" priority="1344" operator="containsText" text="Pesquisa de Preços">
      <formula>NOT(ISERROR(SEARCH("Pesquisa de Preços",D5723)))</formula>
    </cfRule>
  </conditionalFormatting>
  <conditionalFormatting sqref="D5727">
    <cfRule type="containsText" dxfId="530" priority="1340" operator="containsText" text="Pesquisa de Preços">
      <formula>NOT(ISERROR(SEARCH("Pesquisa de Preços",D5727)))</formula>
    </cfRule>
  </conditionalFormatting>
  <conditionalFormatting sqref="D5451">
    <cfRule type="containsText" dxfId="529" priority="1279" operator="containsText" text="Pesquisa de Preços">
      <formula>NOT(ISERROR(SEARCH("Pesquisa de Preços",D5451)))</formula>
    </cfRule>
  </conditionalFormatting>
  <conditionalFormatting sqref="D5731">
    <cfRule type="containsText" dxfId="528" priority="1336" operator="containsText" text="Pesquisa de Preços">
      <formula>NOT(ISERROR(SEARCH("Pesquisa de Preços",D5731)))</formula>
    </cfRule>
  </conditionalFormatting>
  <conditionalFormatting sqref="D5555">
    <cfRule type="containsText" dxfId="527" priority="1267" operator="containsText" text="Pesquisa de Preços">
      <formula>NOT(ISERROR(SEARCH("Pesquisa de Preços",D5555)))</formula>
    </cfRule>
  </conditionalFormatting>
  <conditionalFormatting sqref="D5735">
    <cfRule type="containsText" dxfId="526" priority="1332" operator="containsText" text="Pesquisa de Preços">
      <formula>NOT(ISERROR(SEARCH("Pesquisa de Preços",D5735)))</formula>
    </cfRule>
  </conditionalFormatting>
  <conditionalFormatting sqref="D5907">
    <cfRule type="containsText" dxfId="525" priority="1328" operator="containsText" text="Pesquisa de Preços">
      <formula>NOT(ISERROR(SEARCH("Pesquisa de Preços",D5907)))</formula>
    </cfRule>
  </conditionalFormatting>
  <conditionalFormatting sqref="D5927">
    <cfRule type="containsText" dxfId="524" priority="1292" operator="containsText" text="Pesquisa de Preços">
      <formula>NOT(ISERROR(SEARCH("Pesquisa de Preços",D5927)))</formula>
    </cfRule>
  </conditionalFormatting>
  <conditionalFormatting sqref="D5935">
    <cfRule type="containsText" dxfId="523" priority="1306" operator="containsText" text="Pesquisa de Preços">
      <formula>NOT(ISERROR(SEARCH("Pesquisa de Preços",D5935)))</formula>
    </cfRule>
  </conditionalFormatting>
  <conditionalFormatting sqref="D5951">
    <cfRule type="containsText" dxfId="522" priority="1289" operator="containsText" text="Pesquisa de Preços">
      <formula>NOT(ISERROR(SEARCH("Pesquisa de Preços",D5951)))</formula>
    </cfRule>
  </conditionalFormatting>
  <conditionalFormatting sqref="D5939">
    <cfRule type="containsText" dxfId="521" priority="1290" operator="containsText" text="Pesquisa de Preços">
      <formula>NOT(ISERROR(SEARCH("Pesquisa de Preços",D5939)))</formula>
    </cfRule>
  </conditionalFormatting>
  <conditionalFormatting sqref="D5447">
    <cfRule type="containsText" dxfId="520" priority="1283" operator="containsText" text="Pesquisa de Preços">
      <formula>NOT(ISERROR(SEARCH("Pesquisa de Preços",D5447)))</formula>
    </cfRule>
  </conditionalFormatting>
  <conditionalFormatting sqref="D5619">
    <cfRule type="containsText" dxfId="519" priority="1152" operator="containsText" text="Pesquisa de Preços">
      <formula>NOT(ISERROR(SEARCH("Pesquisa de Preços",D5619)))</formula>
    </cfRule>
  </conditionalFormatting>
  <conditionalFormatting sqref="D5823">
    <cfRule type="containsText" dxfId="518" priority="1172" operator="containsText" text="Pesquisa de Preços">
      <formula>NOT(ISERROR(SEARCH("Pesquisa de Preços",D5823)))</formula>
    </cfRule>
  </conditionalFormatting>
  <conditionalFormatting sqref="D5547">
    <cfRule type="containsText" dxfId="517" priority="1275" operator="containsText" text="Pesquisa de Preços">
      <formula>NOT(ISERROR(SEARCH("Pesquisa de Preços",D5547)))</formula>
    </cfRule>
  </conditionalFormatting>
  <conditionalFormatting sqref="D5587">
    <cfRule type="containsText" dxfId="516" priority="1160" operator="containsText" text="Pesquisa de Preços">
      <formula>NOT(ISERROR(SEARCH("Pesquisa de Preços",D5587)))</formula>
    </cfRule>
  </conditionalFormatting>
  <conditionalFormatting sqref="D5551">
    <cfRule type="containsText" dxfId="515" priority="1271" operator="containsText" text="Pesquisa de Preços">
      <formula>NOT(ISERROR(SEARCH("Pesquisa de Preços",D5551)))</formula>
    </cfRule>
  </conditionalFormatting>
  <conditionalFormatting sqref="D5599">
    <cfRule type="containsText" dxfId="514" priority="1157" operator="containsText" text="Pesquisa de Preços">
      <formula>NOT(ISERROR(SEARCH("Pesquisa de Preços",D5599)))</formula>
    </cfRule>
  </conditionalFormatting>
  <conditionalFormatting sqref="D5559">
    <cfRule type="containsText" dxfId="513" priority="1263" operator="containsText" text="Pesquisa de Preços">
      <formula>NOT(ISERROR(SEARCH("Pesquisa de Preços",D5559)))</formula>
    </cfRule>
  </conditionalFormatting>
  <conditionalFormatting sqref="D5563">
    <cfRule type="containsText" dxfId="512" priority="1259" operator="containsText" text="Pesquisa de Preços">
      <formula>NOT(ISERROR(SEARCH("Pesquisa de Preços",D5563)))</formula>
    </cfRule>
  </conditionalFormatting>
  <conditionalFormatting sqref="D5567">
    <cfRule type="containsText" dxfId="511" priority="1255" operator="containsText" text="Pesquisa de Preços">
      <formula>NOT(ISERROR(SEARCH("Pesquisa de Preços",D5567)))</formula>
    </cfRule>
  </conditionalFormatting>
  <conditionalFormatting sqref="D5611">
    <cfRule type="containsText" dxfId="510" priority="1154" operator="containsText" text="Pesquisa de Preços">
      <formula>NOT(ISERROR(SEARCH("Pesquisa de Preços",D5611)))</formula>
    </cfRule>
  </conditionalFormatting>
  <conditionalFormatting sqref="D5655">
    <cfRule type="containsText" dxfId="509" priority="1143" operator="containsText" text="Pesquisa de Preços">
      <formula>NOT(ISERROR(SEARCH("Pesquisa de Preços",D5655)))</formula>
    </cfRule>
  </conditionalFormatting>
  <conditionalFormatting sqref="D5747">
    <cfRule type="containsText" dxfId="508" priority="1236" operator="containsText" text="Pesquisa de Preços">
      <formula>NOT(ISERROR(SEARCH("Pesquisa de Preços",D5747)))</formula>
    </cfRule>
  </conditionalFormatting>
  <conditionalFormatting sqref="D5755">
    <cfRule type="containsText" dxfId="507" priority="1229" operator="containsText" text="Pesquisa de Preços">
      <formula>NOT(ISERROR(SEARCH("Pesquisa de Preços",D5755)))</formula>
    </cfRule>
  </conditionalFormatting>
  <conditionalFormatting sqref="D5763">
    <cfRule type="containsText" dxfId="506" priority="1222" operator="containsText" text="Pesquisa de Preços">
      <formula>NOT(ISERROR(SEARCH("Pesquisa de Preços",D5763)))</formula>
    </cfRule>
  </conditionalFormatting>
  <conditionalFormatting sqref="D5579">
    <cfRule type="containsText" dxfId="505" priority="1164" operator="containsText" text="Pesquisa de Preços">
      <formula>NOT(ISERROR(SEARCH("Pesquisa de Preços",D5579)))</formula>
    </cfRule>
  </conditionalFormatting>
  <conditionalFormatting sqref="D5583">
    <cfRule type="containsText" dxfId="504" priority="1161" operator="containsText" text="Pesquisa de Preços">
      <formula>NOT(ISERROR(SEARCH("Pesquisa de Preços",D5583)))</formula>
    </cfRule>
  </conditionalFormatting>
  <conditionalFormatting sqref="D5635">
    <cfRule type="containsText" dxfId="503" priority="1148" operator="containsText" text="Pesquisa de Preços">
      <formula>NOT(ISERROR(SEARCH("Pesquisa de Preços",D5635)))</formula>
    </cfRule>
  </conditionalFormatting>
  <conditionalFormatting sqref="D5699">
    <cfRule type="containsText" dxfId="502" priority="1132" operator="containsText" text="Pesquisa de Preços">
      <formula>NOT(ISERROR(SEARCH("Pesquisa de Preços",D5699)))</formula>
    </cfRule>
  </conditionalFormatting>
  <conditionalFormatting sqref="D5743">
    <cfRule type="containsText" dxfId="501" priority="1129" operator="containsText" text="Pesquisa de Preços">
      <formula>NOT(ISERROR(SEARCH("Pesquisa de Preços",D5743)))</formula>
    </cfRule>
  </conditionalFormatting>
  <conditionalFormatting sqref="D5751">
    <cfRule type="containsText" dxfId="500" priority="1128" operator="containsText" text="Pesquisa de Preços">
      <formula>NOT(ISERROR(SEARCH("Pesquisa de Preços",D5751)))</formula>
    </cfRule>
  </conditionalFormatting>
  <conditionalFormatting sqref="D5759">
    <cfRule type="containsText" dxfId="499" priority="1127" operator="containsText" text="Pesquisa de Preços">
      <formula>NOT(ISERROR(SEARCH("Pesquisa de Preços",D5759)))</formula>
    </cfRule>
  </conditionalFormatting>
  <conditionalFormatting sqref="D5779">
    <cfRule type="containsText" dxfId="498" priority="1124" operator="containsText" text="Pesquisa de Preços">
      <formula>NOT(ISERROR(SEARCH("Pesquisa de Preços",D5779)))</formula>
    </cfRule>
  </conditionalFormatting>
  <conditionalFormatting sqref="D5791">
    <cfRule type="containsText" dxfId="497" priority="1122" operator="containsText" text="Pesquisa de Preços">
      <formula>NOT(ISERROR(SEARCH("Pesquisa de Preços",D5791)))</formula>
    </cfRule>
  </conditionalFormatting>
  <conditionalFormatting sqref="D5807">
    <cfRule type="containsText" dxfId="496" priority="1119" operator="containsText" text="Pesquisa de Preços">
      <formula>NOT(ISERROR(SEARCH("Pesquisa de Preços",D5807)))</formula>
    </cfRule>
  </conditionalFormatting>
  <conditionalFormatting sqref="D5819">
    <cfRule type="containsText" dxfId="495" priority="1117" operator="containsText" text="Pesquisa de Preços">
      <formula>NOT(ISERROR(SEARCH("Pesquisa de Preços",D5819)))</formula>
    </cfRule>
  </conditionalFormatting>
  <conditionalFormatting sqref="D5875">
    <cfRule type="containsText" dxfId="494" priority="1067" operator="containsText" text="Pesquisa de Preços">
      <formula>NOT(ISERROR(SEARCH("Pesquisa de Preços",D5875)))</formula>
    </cfRule>
  </conditionalFormatting>
  <conditionalFormatting sqref="D5879">
    <cfRule type="containsText" dxfId="493" priority="1063" operator="containsText" text="Pesquisa de Preços">
      <formula>NOT(ISERROR(SEARCH("Pesquisa de Preços",D5879)))</formula>
    </cfRule>
  </conditionalFormatting>
  <conditionalFormatting sqref="D5445">
    <cfRule type="containsText" dxfId="492" priority="1284" operator="containsText" text="Pesquisa de Preços">
      <formula>NOT(ISERROR(SEARCH("Pesquisa de Preços",D5445)))</formula>
    </cfRule>
  </conditionalFormatting>
  <conditionalFormatting sqref="D5575">
    <cfRule type="containsText" dxfId="491" priority="1163" operator="containsText" text="Pesquisa de Preços">
      <formula>NOT(ISERROR(SEARCH("Pesquisa de Preços",D5575)))</formula>
    </cfRule>
  </conditionalFormatting>
  <conditionalFormatting sqref="D5591">
    <cfRule type="containsText" dxfId="490" priority="1159" operator="containsText" text="Pesquisa de Preços">
      <formula>NOT(ISERROR(SEARCH("Pesquisa de Preços",D5591)))</formula>
    </cfRule>
  </conditionalFormatting>
  <conditionalFormatting sqref="D5627">
    <cfRule type="containsText" dxfId="489" priority="1150" operator="containsText" text="Pesquisa de Preços">
      <formula>NOT(ISERROR(SEARCH("Pesquisa de Preços",D5627)))</formula>
    </cfRule>
  </conditionalFormatting>
  <conditionalFormatting sqref="D5775">
    <cfRule type="containsText" dxfId="488" priority="1212" operator="containsText" text="Pesquisa de Preços">
      <formula>NOT(ISERROR(SEARCH("Pesquisa de Preços",D5775)))</formula>
    </cfRule>
  </conditionalFormatting>
  <conditionalFormatting sqref="D5739">
    <cfRule type="containsText" dxfId="487" priority="1242" operator="containsText" text="Pesquisa de Preços">
      <formula>NOT(ISERROR(SEARCH("Pesquisa de Preços",D5739)))</formula>
    </cfRule>
  </conditionalFormatting>
  <conditionalFormatting sqref="D5623">
    <cfRule type="containsText" dxfId="486" priority="1151" operator="containsText" text="Pesquisa de Preços">
      <formula>NOT(ISERROR(SEARCH("Pesquisa de Preços",D5623)))</formula>
    </cfRule>
  </conditionalFormatting>
  <conditionalFormatting sqref="D5647">
    <cfRule type="containsText" dxfId="485" priority="1145" operator="containsText" text="Pesquisa de Preços">
      <formula>NOT(ISERROR(SEARCH("Pesquisa de Preços",D5647)))</formula>
    </cfRule>
  </conditionalFormatting>
  <conditionalFormatting sqref="D5571">
    <cfRule type="containsText" dxfId="484" priority="1162" operator="containsText" text="Pesquisa de Preços">
      <formula>NOT(ISERROR(SEARCH("Pesquisa de Preços",D5571)))</formula>
    </cfRule>
  </conditionalFormatting>
  <conditionalFormatting sqref="D5639">
    <cfRule type="containsText" dxfId="483" priority="1146" operator="containsText" text="Pesquisa de Preços">
      <formula>NOT(ISERROR(SEARCH("Pesquisa de Preços",D5639)))</formula>
    </cfRule>
  </conditionalFormatting>
  <conditionalFormatting sqref="D5787">
    <cfRule type="containsText" dxfId="482" priority="1202" operator="containsText" text="Pesquisa de Preços">
      <formula>NOT(ISERROR(SEARCH("Pesquisa de Preços",D5787)))</formula>
    </cfRule>
  </conditionalFormatting>
  <conditionalFormatting sqref="D5631">
    <cfRule type="containsText" dxfId="481" priority="1149" operator="containsText" text="Pesquisa de Preços">
      <formula>NOT(ISERROR(SEARCH("Pesquisa de Preços",D5631)))</formula>
    </cfRule>
  </conditionalFormatting>
  <conditionalFormatting sqref="D5667">
    <cfRule type="containsText" dxfId="480" priority="1140" operator="containsText" text="Pesquisa de Preços">
      <formula>NOT(ISERROR(SEARCH("Pesquisa de Preços",D5667)))</formula>
    </cfRule>
  </conditionalFormatting>
  <conditionalFormatting sqref="D5607">
    <cfRule type="containsText" dxfId="479" priority="1155" operator="containsText" text="Pesquisa de Preços">
      <formula>NOT(ISERROR(SEARCH("Pesquisa de Preços",D5607)))</formula>
    </cfRule>
  </conditionalFormatting>
  <conditionalFormatting sqref="D5799">
    <cfRule type="containsText" dxfId="478" priority="1192" operator="containsText" text="Pesquisa de Preços">
      <formula>NOT(ISERROR(SEARCH("Pesquisa de Preços",D5799)))</formula>
    </cfRule>
  </conditionalFormatting>
  <conditionalFormatting sqref="D5659">
    <cfRule type="containsText" dxfId="477" priority="1141" operator="containsText" text="Pesquisa de Preços">
      <formula>NOT(ISERROR(SEARCH("Pesquisa de Preços",D5659)))</formula>
    </cfRule>
  </conditionalFormatting>
  <conditionalFormatting sqref="D5643">
    <cfRule type="containsText" dxfId="476" priority="1147" operator="containsText" text="Pesquisa de Preços">
      <formula>NOT(ISERROR(SEARCH("Pesquisa de Preços",D5643)))</formula>
    </cfRule>
  </conditionalFormatting>
  <conditionalFormatting sqref="D5695">
    <cfRule type="containsText" dxfId="475" priority="1133" operator="containsText" text="Pesquisa de Preços">
      <formula>NOT(ISERROR(SEARCH("Pesquisa de Preços",D5695)))</formula>
    </cfRule>
  </conditionalFormatting>
  <conditionalFormatting sqref="D5811">
    <cfRule type="containsText" dxfId="474" priority="1182" operator="containsText" text="Pesquisa de Preços">
      <formula>NOT(ISERROR(SEARCH("Pesquisa de Preços",D5811)))</formula>
    </cfRule>
  </conditionalFormatting>
  <conditionalFormatting sqref="D5663">
    <cfRule type="containsText" dxfId="473" priority="1142" operator="containsText" text="Pesquisa de Preços">
      <formula>NOT(ISERROR(SEARCH("Pesquisa de Preços",D5663)))</formula>
    </cfRule>
  </conditionalFormatting>
  <conditionalFormatting sqref="D5691">
    <cfRule type="containsText" dxfId="472" priority="1135" operator="containsText" text="Pesquisa de Preços">
      <formula>NOT(ISERROR(SEARCH("Pesquisa de Preços",D5691)))</formula>
    </cfRule>
  </conditionalFormatting>
  <conditionalFormatting sqref="D5687">
    <cfRule type="containsText" dxfId="471" priority="1134" operator="containsText" text="Pesquisa de Preços">
      <formula>NOT(ISERROR(SEARCH("Pesquisa de Preços",D5687)))</formula>
    </cfRule>
  </conditionalFormatting>
  <conditionalFormatting sqref="D5675">
    <cfRule type="containsText" dxfId="470" priority="1138" operator="containsText" text="Pesquisa de Preços">
      <formula>NOT(ISERROR(SEARCH("Pesquisa de Preços",D5675)))</formula>
    </cfRule>
  </conditionalFormatting>
  <conditionalFormatting sqref="D5783">
    <cfRule type="containsText" dxfId="469" priority="1123" operator="containsText" text="Pesquisa de Preços">
      <formula>NOT(ISERROR(SEARCH("Pesquisa de Preços",D5783)))</formula>
    </cfRule>
  </conditionalFormatting>
  <conditionalFormatting sqref="D5595">
    <cfRule type="containsText" dxfId="468" priority="1158" operator="containsText" text="Pesquisa de Preços">
      <formula>NOT(ISERROR(SEARCH("Pesquisa de Preços",D5595)))</formula>
    </cfRule>
  </conditionalFormatting>
  <conditionalFormatting sqref="D5603">
    <cfRule type="containsText" dxfId="467" priority="1156" operator="containsText" text="Pesquisa de Preços">
      <formula>NOT(ISERROR(SEARCH("Pesquisa de Preços",D5603)))</formula>
    </cfRule>
  </conditionalFormatting>
  <conditionalFormatting sqref="D5683">
    <cfRule type="containsText" dxfId="466" priority="1136" operator="containsText" text="Pesquisa de Preços">
      <formula>NOT(ISERROR(SEARCH("Pesquisa de Preços",D5683)))</formula>
    </cfRule>
  </conditionalFormatting>
  <conditionalFormatting sqref="D5703">
    <cfRule type="containsText" dxfId="465" priority="1131" operator="containsText" text="Pesquisa de Preços">
      <formula>NOT(ISERROR(SEARCH("Pesquisa de Preços",D5703)))</formula>
    </cfRule>
  </conditionalFormatting>
  <conditionalFormatting sqref="D5767">
    <cfRule type="containsText" dxfId="464" priority="1126" operator="containsText" text="Pesquisa de Preços">
      <formula>NOT(ISERROR(SEARCH("Pesquisa de Preços",D5767)))</formula>
    </cfRule>
  </conditionalFormatting>
  <conditionalFormatting sqref="D5795">
    <cfRule type="containsText" dxfId="463" priority="1121" operator="containsText" text="Pesquisa de Preços">
      <formula>NOT(ISERROR(SEARCH("Pesquisa de Preços",D5795)))</formula>
    </cfRule>
  </conditionalFormatting>
  <conditionalFormatting sqref="D5671">
    <cfRule type="containsText" dxfId="462" priority="1139" operator="containsText" text="Pesquisa de Preços">
      <formula>NOT(ISERROR(SEARCH("Pesquisa de Preços",D5671)))</formula>
    </cfRule>
  </conditionalFormatting>
  <conditionalFormatting sqref="D5679">
    <cfRule type="containsText" dxfId="461" priority="1137" operator="containsText" text="Pesquisa de Preços">
      <formula>NOT(ISERROR(SEARCH("Pesquisa de Preços",D5679)))</formula>
    </cfRule>
  </conditionalFormatting>
  <conditionalFormatting sqref="D5771">
    <cfRule type="containsText" dxfId="460" priority="1125" operator="containsText" text="Pesquisa de Preços">
      <formula>NOT(ISERROR(SEARCH("Pesquisa de Preços",D5771)))</formula>
    </cfRule>
  </conditionalFormatting>
  <conditionalFormatting sqref="D5615">
    <cfRule type="containsText" dxfId="459" priority="1153" operator="containsText" text="Pesquisa de Preços">
      <formula>NOT(ISERROR(SEARCH("Pesquisa de Preços",D5615)))</formula>
    </cfRule>
  </conditionalFormatting>
  <conditionalFormatting sqref="D5831">
    <cfRule type="containsText" dxfId="458" priority="1115" operator="containsText" text="Pesquisa de Preços">
      <formula>NOT(ISERROR(SEARCH("Pesquisa de Preços",D5831)))</formula>
    </cfRule>
  </conditionalFormatting>
  <conditionalFormatting sqref="D5707">
    <cfRule type="containsText" dxfId="457" priority="1130" operator="containsText" text="Pesquisa de Preços">
      <formula>NOT(ISERROR(SEARCH("Pesquisa de Preços",D5707)))</formula>
    </cfRule>
  </conditionalFormatting>
  <conditionalFormatting sqref="D5651">
    <cfRule type="containsText" dxfId="456" priority="1144" operator="containsText" text="Pesquisa de Preços">
      <formula>NOT(ISERROR(SEARCH("Pesquisa de Preços",D5651)))</formula>
    </cfRule>
  </conditionalFormatting>
  <conditionalFormatting sqref="D5815">
    <cfRule type="containsText" dxfId="455" priority="1118" operator="containsText" text="Pesquisa de Preços">
      <formula>NOT(ISERROR(SEARCH("Pesquisa de Preços",D5815)))</formula>
    </cfRule>
  </conditionalFormatting>
  <conditionalFormatting sqref="D5827">
    <cfRule type="containsText" dxfId="454" priority="1116" operator="containsText" text="Pesquisa de Preços">
      <formula>NOT(ISERROR(SEARCH("Pesquisa de Preços",D5827)))</formula>
    </cfRule>
  </conditionalFormatting>
  <conditionalFormatting sqref="D5803">
    <cfRule type="containsText" dxfId="453" priority="1120" operator="containsText" text="Pesquisa de Preços">
      <formula>NOT(ISERROR(SEARCH("Pesquisa de Preços",D5803)))</formula>
    </cfRule>
  </conditionalFormatting>
  <conditionalFormatting sqref="D5835">
    <cfRule type="containsText" dxfId="452" priority="1111" operator="containsText" text="Pesquisa de Preços">
      <formula>NOT(ISERROR(SEARCH("Pesquisa de Preços",D5835)))</formula>
    </cfRule>
  </conditionalFormatting>
  <conditionalFormatting sqref="D5871">
    <cfRule type="containsText" dxfId="451" priority="1071" operator="containsText" text="Pesquisa de Preços">
      <formula>NOT(ISERROR(SEARCH("Pesquisa de Preços",D5871)))</formula>
    </cfRule>
  </conditionalFormatting>
  <conditionalFormatting sqref="D5843">
    <cfRule type="containsText" dxfId="450" priority="1103" operator="containsText" text="Pesquisa de Preços">
      <formula>NOT(ISERROR(SEARCH("Pesquisa de Preços",D5843)))</formula>
    </cfRule>
  </conditionalFormatting>
  <conditionalFormatting sqref="D5855">
    <cfRule type="containsText" dxfId="449" priority="1091" operator="containsText" text="Pesquisa de Preços">
      <formula>NOT(ISERROR(SEARCH("Pesquisa de Preços",D5855)))</formula>
    </cfRule>
  </conditionalFormatting>
  <conditionalFormatting sqref="D5839">
    <cfRule type="containsText" dxfId="448" priority="1107" operator="containsText" text="Pesquisa de Preços">
      <formula>NOT(ISERROR(SEARCH("Pesquisa de Preços",D5839)))</formula>
    </cfRule>
  </conditionalFormatting>
  <conditionalFormatting sqref="D5863">
    <cfRule type="containsText" dxfId="447" priority="1083" operator="containsText" text="Pesquisa de Preços">
      <formula>NOT(ISERROR(SEARCH("Pesquisa de Preços",D5863)))</formula>
    </cfRule>
  </conditionalFormatting>
  <conditionalFormatting sqref="D5847">
    <cfRule type="containsText" dxfId="446" priority="1099" operator="containsText" text="Pesquisa de Preços">
      <formula>NOT(ISERROR(SEARCH("Pesquisa de Preços",D5847)))</formula>
    </cfRule>
  </conditionalFormatting>
  <conditionalFormatting sqref="D5851">
    <cfRule type="containsText" dxfId="445" priority="1095" operator="containsText" text="Pesquisa de Preços">
      <formula>NOT(ISERROR(SEARCH("Pesquisa de Preços",D5851)))</formula>
    </cfRule>
  </conditionalFormatting>
  <conditionalFormatting sqref="D5859">
    <cfRule type="containsText" dxfId="444" priority="1087" operator="containsText" text="Pesquisa de Preços">
      <formula>NOT(ISERROR(SEARCH("Pesquisa de Preços",D5859)))</formula>
    </cfRule>
  </conditionalFormatting>
  <conditionalFormatting sqref="D5867">
    <cfRule type="containsText" dxfId="443" priority="1079" operator="containsText" text="Pesquisa de Preços">
      <formula>NOT(ISERROR(SEARCH("Pesquisa de Preços",D5867)))</formula>
    </cfRule>
  </conditionalFormatting>
  <conditionalFormatting sqref="D5891">
    <cfRule type="containsText" dxfId="442" priority="1043" operator="containsText" text="Pesquisa de Preços">
      <formula>NOT(ISERROR(SEARCH("Pesquisa de Preços",D5891)))</formula>
    </cfRule>
  </conditionalFormatting>
  <conditionalFormatting sqref="D5895">
    <cfRule type="containsText" dxfId="441" priority="1039" operator="containsText" text="Pesquisa de Preços">
      <formula>NOT(ISERROR(SEARCH("Pesquisa de Preços",D5895)))</formula>
    </cfRule>
  </conditionalFormatting>
  <conditionalFormatting sqref="D5379">
    <cfRule type="containsText" dxfId="440" priority="866" operator="containsText" text="Pesquisa de Preços">
      <formula>NOT(ISERROR(SEARCH("Pesquisa de Preços",D5379)))</formula>
    </cfRule>
  </conditionalFormatting>
  <conditionalFormatting sqref="D5373">
    <cfRule type="containsText" dxfId="439" priority="867" operator="containsText" text="Pesquisa de Preços">
      <formula>NOT(ISERROR(SEARCH("Pesquisa de Preços",D5373)))</formula>
    </cfRule>
  </conditionalFormatting>
  <conditionalFormatting sqref="D2723">
    <cfRule type="containsText" dxfId="438" priority="1013" operator="containsText" text="Pesquisa de Preços">
      <formula>NOT(ISERROR(SEARCH("Pesquisa de Preços",D2723)))</formula>
    </cfRule>
  </conditionalFormatting>
  <conditionalFormatting sqref="D2715">
    <cfRule type="containsText" dxfId="437" priority="1003" operator="containsText" text="Pesquisa de Preços">
      <formula>NOT(ISERROR(SEARCH("Pesquisa de Preços",D2715)))</formula>
    </cfRule>
  </conditionalFormatting>
  <conditionalFormatting sqref="D5959">
    <cfRule type="containsText" dxfId="436" priority="1008" operator="containsText" text="Pesquisa de Preços">
      <formula>NOT(ISERROR(SEARCH("Pesquisa de Preços",D5959)))</formula>
    </cfRule>
  </conditionalFormatting>
  <conditionalFormatting sqref="D5327">
    <cfRule type="containsText" dxfId="435" priority="996" operator="containsText" text="Pesquisa de Preços">
      <formula>NOT(ISERROR(SEARCH("Pesquisa de Preços",D5327)))</formula>
    </cfRule>
  </conditionalFormatting>
  <conditionalFormatting sqref="D2717">
    <cfRule type="containsText" dxfId="434" priority="1002" operator="containsText" text="Pesquisa de Preços">
      <formula>NOT(ISERROR(SEARCH("Pesquisa de Preços",D2717)))</formula>
    </cfRule>
  </conditionalFormatting>
  <conditionalFormatting sqref="D5477">
    <cfRule type="containsText" dxfId="433" priority="848" operator="containsText" text="Pesquisa de Preços">
      <formula>NOT(ISERROR(SEARCH("Pesquisa de Preços",D5477)))</formula>
    </cfRule>
  </conditionalFormatting>
  <conditionalFormatting sqref="D5501">
    <cfRule type="containsText" dxfId="432" priority="842" operator="containsText" text="Pesquisa de Preços">
      <formula>NOT(ISERROR(SEARCH("Pesquisa de Preços",D5501)))</formula>
    </cfRule>
  </conditionalFormatting>
  <conditionalFormatting sqref="D5339">
    <cfRule type="containsText" dxfId="431" priority="988" operator="containsText" text="Pesquisa de Preços">
      <formula>NOT(ISERROR(SEARCH("Pesquisa de Preços",D5339)))</formula>
    </cfRule>
  </conditionalFormatting>
  <conditionalFormatting sqref="D5493">
    <cfRule type="containsText" dxfId="430" priority="844" operator="containsText" text="Pesquisa de Preços">
      <formula>NOT(ISERROR(SEARCH("Pesquisa de Preços",D5493)))</formula>
    </cfRule>
  </conditionalFormatting>
  <conditionalFormatting sqref="D5345 D5351 D5357 D5363 D5387 D5393">
    <cfRule type="containsText" dxfId="429" priority="980" operator="containsText" text="Pesquisa de Preços">
      <formula>NOT(ISERROR(SEARCH("Pesquisa de Preços",D5345)))</formula>
    </cfRule>
  </conditionalFormatting>
  <conditionalFormatting sqref="D5505">
    <cfRule type="containsText" dxfId="428" priority="841" operator="containsText" text="Pesquisa de Preços">
      <formula>NOT(ISERROR(SEARCH("Pesquisa de Preços",D5505)))</formula>
    </cfRule>
  </conditionalFormatting>
  <conditionalFormatting sqref="D5423">
    <cfRule type="containsText" dxfId="427" priority="972" operator="containsText" text="Pesquisa de Preços">
      <formula>NOT(ISERROR(SEARCH("Pesquisa de Preços",D5423)))</formula>
    </cfRule>
  </conditionalFormatting>
  <conditionalFormatting sqref="D5533">
    <cfRule type="containsText" dxfId="426" priority="834" operator="containsText" text="Pesquisa de Preços">
      <formula>NOT(ISERROR(SEARCH("Pesquisa de Preços",D5533)))</formula>
    </cfRule>
  </conditionalFormatting>
  <conditionalFormatting sqref="D5429">
    <cfRule type="containsText" dxfId="425" priority="964" operator="containsText" text="Pesquisa de Preços">
      <formula>NOT(ISERROR(SEARCH("Pesquisa de Preços",D5429)))</formula>
    </cfRule>
  </conditionalFormatting>
  <conditionalFormatting sqref="D5561">
    <cfRule type="containsText" dxfId="424" priority="827" operator="containsText" text="Pesquisa de Preços">
      <formula>NOT(ISERROR(SEARCH("Pesquisa de Preços",D5561)))</formula>
    </cfRule>
  </conditionalFormatting>
  <conditionalFormatting sqref="D5435">
    <cfRule type="containsText" dxfId="423" priority="956" operator="containsText" text="Pesquisa de Preços">
      <formula>NOT(ISERROR(SEARCH("Pesquisa de Preços",D5435)))</formula>
    </cfRule>
  </conditionalFormatting>
  <conditionalFormatting sqref="D5625">
    <cfRule type="containsText" dxfId="422" priority="811" operator="containsText" text="Pesquisa de Preços">
      <formula>NOT(ISERROR(SEARCH("Pesquisa de Preços",D5625)))</formula>
    </cfRule>
  </conditionalFormatting>
  <conditionalFormatting sqref="D5441">
    <cfRule type="containsText" dxfId="421" priority="948" operator="containsText" text="Pesquisa de Preços">
      <formula>NOT(ISERROR(SEARCH("Pesquisa de Preços",D5441)))</formula>
    </cfRule>
  </conditionalFormatting>
  <conditionalFormatting sqref="D5697">
    <cfRule type="containsText" dxfId="420" priority="793" operator="containsText" text="Pesquisa de Preços">
      <formula>NOT(ISERROR(SEARCH("Pesquisa de Preços",D5697)))</formula>
    </cfRule>
  </conditionalFormatting>
  <conditionalFormatting sqref="D5333">
    <cfRule type="containsText" dxfId="419" priority="940" operator="containsText" text="Pesquisa de Preços">
      <formula>NOT(ISERROR(SEARCH("Pesquisa de Preços",D5333)))</formula>
    </cfRule>
  </conditionalFormatting>
  <conditionalFormatting sqref="D5701">
    <cfRule type="containsText" dxfId="418" priority="792" operator="containsText" text="Pesquisa de Preços">
      <formula>NOT(ISERROR(SEARCH("Pesquisa de Preços",D5701)))</formula>
    </cfRule>
  </conditionalFormatting>
  <conditionalFormatting sqref="D5369">
    <cfRule type="containsText" dxfId="417" priority="932" operator="containsText" text="Pesquisa de Preços">
      <formula>NOT(ISERROR(SEARCH("Pesquisa de Preços",D5369)))</formula>
    </cfRule>
  </conditionalFormatting>
  <conditionalFormatting sqref="D5729">
    <cfRule type="containsText" dxfId="416" priority="785" operator="containsText" text="Pesquisa de Preços">
      <formula>NOT(ISERROR(SEARCH("Pesquisa de Preços",D5729)))</formula>
    </cfRule>
  </conditionalFormatting>
  <conditionalFormatting sqref="D5375">
    <cfRule type="containsText" dxfId="415" priority="924" operator="containsText" text="Pesquisa de Preços">
      <formula>NOT(ISERROR(SEARCH("Pesquisa de Preços",D5375)))</formula>
    </cfRule>
  </conditionalFormatting>
  <conditionalFormatting sqref="D5757">
    <cfRule type="containsText" dxfId="414" priority="778" operator="containsText" text="Pesquisa de Preços">
      <formula>NOT(ISERROR(SEARCH("Pesquisa de Preços",D5757)))</formula>
    </cfRule>
  </conditionalFormatting>
  <conditionalFormatting sqref="D5381">
    <cfRule type="containsText" dxfId="413" priority="916" operator="containsText" text="Pesquisa de Preços">
      <formula>NOT(ISERROR(SEARCH("Pesquisa de Preços",D5381)))</formula>
    </cfRule>
  </conditionalFormatting>
  <conditionalFormatting sqref="D5777 D5773">
    <cfRule type="containsText" dxfId="412" priority="773" operator="containsText" text="Pesquisa de Preços">
      <formula>NOT(ISERROR(SEARCH("Pesquisa de Preços",D5773)))</formula>
    </cfRule>
  </conditionalFormatting>
  <conditionalFormatting sqref="D5805">
    <cfRule type="containsText" dxfId="411" priority="766" operator="containsText" text="Pesquisa de Preços">
      <formula>NOT(ISERROR(SEARCH("Pesquisa de Preços",D5805)))</formula>
    </cfRule>
  </conditionalFormatting>
  <conditionalFormatting sqref="D5405">
    <cfRule type="containsText" dxfId="410" priority="900" operator="containsText" text="Pesquisa de Preços">
      <formula>NOT(ISERROR(SEARCH("Pesquisa de Preços",D5405)))</formula>
    </cfRule>
  </conditionalFormatting>
  <conditionalFormatting sqref="D5829">
    <cfRule type="containsText" dxfId="409" priority="760" operator="containsText" text="Pesquisa de Preços">
      <formula>NOT(ISERROR(SEARCH("Pesquisa de Preços",D5829)))</formula>
    </cfRule>
  </conditionalFormatting>
  <conditionalFormatting sqref="D5411">
    <cfRule type="containsText" dxfId="408" priority="892" operator="containsText" text="Pesquisa de Preços">
      <formula>NOT(ISERROR(SEARCH("Pesquisa de Preços",D5411)))</formula>
    </cfRule>
  </conditionalFormatting>
  <conditionalFormatting sqref="D5861">
    <cfRule type="containsText" dxfId="407" priority="752" operator="containsText" text="Pesquisa de Preços">
      <formula>NOT(ISERROR(SEARCH("Pesquisa de Preços",D5861)))</formula>
    </cfRule>
  </conditionalFormatting>
  <conditionalFormatting sqref="D5417">
    <cfRule type="containsText" dxfId="406" priority="884" operator="containsText" text="Pesquisa de Preços">
      <formula>NOT(ISERROR(SEARCH("Pesquisa de Preços",D5417)))</formula>
    </cfRule>
  </conditionalFormatting>
  <conditionalFormatting sqref="D5893">
    <cfRule type="containsText" dxfId="405" priority="743" operator="containsText" text="Pesquisa de Preços">
      <formula>NOT(ISERROR(SEARCH("Pesquisa de Preços",D5893)))</formula>
    </cfRule>
  </conditionalFormatting>
  <conditionalFormatting sqref="D5325">
    <cfRule type="containsText" dxfId="404" priority="876" operator="containsText" text="Pesquisa de Preços">
      <formula>NOT(ISERROR(SEARCH("Pesquisa de Preços",D5325)))</formula>
    </cfRule>
  </conditionalFormatting>
  <conditionalFormatting sqref="D5331">
    <cfRule type="containsText" dxfId="403" priority="875" operator="containsText" text="Pesquisa de Preços">
      <formula>NOT(ISERROR(SEARCH("Pesquisa de Preços",D5331)))</formula>
    </cfRule>
  </conditionalFormatting>
  <conditionalFormatting sqref="D5337">
    <cfRule type="containsText" dxfId="402" priority="874" operator="containsText" text="Pesquisa de Preços">
      <formula>NOT(ISERROR(SEARCH("Pesquisa de Preços",D5337)))</formula>
    </cfRule>
  </conditionalFormatting>
  <conditionalFormatting sqref="D5343">
    <cfRule type="containsText" dxfId="401" priority="873" operator="containsText" text="Pesquisa de Preços">
      <formula>NOT(ISERROR(SEARCH("Pesquisa de Preços",D5343)))</formula>
    </cfRule>
  </conditionalFormatting>
  <conditionalFormatting sqref="D5349">
    <cfRule type="containsText" dxfId="400" priority="872" operator="containsText" text="Pesquisa de Preços">
      <formula>NOT(ISERROR(SEARCH("Pesquisa de Preços",D5349)))</formula>
    </cfRule>
  </conditionalFormatting>
  <conditionalFormatting sqref="D5355">
    <cfRule type="containsText" dxfId="399" priority="871" operator="containsText" text="Pesquisa de Preços">
      <formula>NOT(ISERROR(SEARCH("Pesquisa de Preços",D5355)))</formula>
    </cfRule>
  </conditionalFormatting>
  <conditionalFormatting sqref="D5957">
    <cfRule type="containsText" dxfId="398" priority="728" operator="containsText" text="Pesquisa de Preços">
      <formula>NOT(ISERROR(SEARCH("Pesquisa de Preços",D5957)))</formula>
    </cfRule>
  </conditionalFormatting>
  <conditionalFormatting sqref="D5361">
    <cfRule type="containsText" dxfId="397" priority="869" operator="containsText" text="Pesquisa de Preços">
      <formula>NOT(ISERROR(SEARCH("Pesquisa de Preços",D5361)))</formula>
    </cfRule>
  </conditionalFormatting>
  <conditionalFormatting sqref="D5367">
    <cfRule type="containsText" dxfId="396" priority="868" operator="containsText" text="Pesquisa de Preços">
      <formula>NOT(ISERROR(SEARCH("Pesquisa de Preços",D5367)))</formula>
    </cfRule>
  </conditionalFormatting>
  <conditionalFormatting sqref="D5427">
    <cfRule type="containsText" dxfId="395" priority="858" operator="containsText" text="Pesquisa de Preços">
      <formula>NOT(ISERROR(SEARCH("Pesquisa de Preços",D5427)))</formula>
    </cfRule>
  </conditionalFormatting>
  <conditionalFormatting sqref="D5433">
    <cfRule type="containsText" dxfId="394" priority="857" operator="containsText" text="Pesquisa de Preços">
      <formula>NOT(ISERROR(SEARCH("Pesquisa de Preços",D5433)))</formula>
    </cfRule>
  </conditionalFormatting>
  <conditionalFormatting sqref="D5385">
    <cfRule type="containsText" dxfId="393" priority="865" operator="containsText" text="Pesquisa de Preços">
      <formula>NOT(ISERROR(SEARCH("Pesquisa de Preços",D5385)))</formula>
    </cfRule>
  </conditionalFormatting>
  <conditionalFormatting sqref="D5391">
    <cfRule type="containsText" dxfId="392" priority="864" operator="containsText" text="Pesquisa de Preços">
      <formula>NOT(ISERROR(SEARCH("Pesquisa de Preços",D5391)))</formula>
    </cfRule>
  </conditionalFormatting>
  <conditionalFormatting sqref="D5397">
    <cfRule type="containsText" dxfId="391" priority="863" operator="containsText" text="Pesquisa de Preços">
      <formula>NOT(ISERROR(SEARCH("Pesquisa de Preços",D5397)))</formula>
    </cfRule>
  </conditionalFormatting>
  <conditionalFormatting sqref="D5409 D5403">
    <cfRule type="containsText" dxfId="390" priority="861" operator="containsText" text="Pesquisa de Preços">
      <formula>NOT(ISERROR(SEARCH("Pesquisa de Preços",D5403)))</formula>
    </cfRule>
  </conditionalFormatting>
  <conditionalFormatting sqref="D5415">
    <cfRule type="containsText" dxfId="389" priority="860" operator="containsText" text="Pesquisa de Preços">
      <formula>NOT(ISERROR(SEARCH("Pesquisa de Preços",D5415)))</formula>
    </cfRule>
  </conditionalFormatting>
  <conditionalFormatting sqref="D5421">
    <cfRule type="containsText" dxfId="388" priority="859" operator="containsText" text="Pesquisa de Preços">
      <formula>NOT(ISERROR(SEARCH("Pesquisa de Preços",D5421)))</formula>
    </cfRule>
  </conditionalFormatting>
  <conditionalFormatting sqref="D5439">
    <cfRule type="containsText" dxfId="387" priority="856" operator="containsText" text="Pesquisa de Preços">
      <formula>NOT(ISERROR(SEARCH("Pesquisa de Preços",D5439)))</formula>
    </cfRule>
  </conditionalFormatting>
  <conditionalFormatting sqref="D5449">
    <cfRule type="containsText" dxfId="386" priority="855" operator="containsText" text="Pesquisa de Preços">
      <formula>NOT(ISERROR(SEARCH("Pesquisa de Preços",D5449)))</formula>
    </cfRule>
  </conditionalFormatting>
  <conditionalFormatting sqref="D5453">
    <cfRule type="containsText" dxfId="385" priority="854" operator="containsText" text="Pesquisa de Preços">
      <formula>NOT(ISERROR(SEARCH("Pesquisa de Preços",D5453)))</formula>
    </cfRule>
  </conditionalFormatting>
  <conditionalFormatting sqref="D5457">
    <cfRule type="containsText" dxfId="384" priority="853" operator="containsText" text="Pesquisa de Preços">
      <formula>NOT(ISERROR(SEARCH("Pesquisa de Preços",D5457)))</formula>
    </cfRule>
  </conditionalFormatting>
  <conditionalFormatting sqref="D5461">
    <cfRule type="containsText" dxfId="383" priority="852" operator="containsText" text="Pesquisa de Preços">
      <formula>NOT(ISERROR(SEARCH("Pesquisa de Preços",D5461)))</formula>
    </cfRule>
  </conditionalFormatting>
  <conditionalFormatting sqref="D5465">
    <cfRule type="containsText" dxfId="382" priority="851" operator="containsText" text="Pesquisa de Preços">
      <formula>NOT(ISERROR(SEARCH("Pesquisa de Preços",D5465)))</formula>
    </cfRule>
  </conditionalFormatting>
  <conditionalFormatting sqref="D5469">
    <cfRule type="containsText" dxfId="381" priority="850" operator="containsText" text="Pesquisa de Preços">
      <formula>NOT(ISERROR(SEARCH("Pesquisa de Preços",D5469)))</formula>
    </cfRule>
  </conditionalFormatting>
  <conditionalFormatting sqref="D5473">
    <cfRule type="containsText" dxfId="380" priority="849" operator="containsText" text="Pesquisa de Preços">
      <formula>NOT(ISERROR(SEARCH("Pesquisa de Preços",D5473)))</formula>
    </cfRule>
  </conditionalFormatting>
  <conditionalFormatting sqref="D5481">
    <cfRule type="containsText" dxfId="379" priority="847" operator="containsText" text="Pesquisa de Preços">
      <formula>NOT(ISERROR(SEARCH("Pesquisa de Preços",D5481)))</formula>
    </cfRule>
  </conditionalFormatting>
  <conditionalFormatting sqref="D5485">
    <cfRule type="containsText" dxfId="378" priority="846" operator="containsText" text="Pesquisa de Preços">
      <formula>NOT(ISERROR(SEARCH("Pesquisa de Preços",D5485)))</formula>
    </cfRule>
  </conditionalFormatting>
  <conditionalFormatting sqref="D5489">
    <cfRule type="containsText" dxfId="377" priority="845" operator="containsText" text="Pesquisa de Preços">
      <formula>NOT(ISERROR(SEARCH("Pesquisa de Preços",D5489)))</formula>
    </cfRule>
  </conditionalFormatting>
  <conditionalFormatting sqref="D5529">
    <cfRule type="containsText" dxfId="376" priority="835" operator="containsText" text="Pesquisa de Preços">
      <formula>NOT(ISERROR(SEARCH("Pesquisa de Preços",D5529)))</formula>
    </cfRule>
  </conditionalFormatting>
  <conditionalFormatting sqref="D5497">
    <cfRule type="containsText" dxfId="375" priority="843" operator="containsText" text="Pesquisa de Preços">
      <formula>NOT(ISERROR(SEARCH("Pesquisa de Preços",D5497)))</formula>
    </cfRule>
  </conditionalFormatting>
  <conditionalFormatting sqref="D5537">
    <cfRule type="containsText" dxfId="374" priority="833" operator="containsText" text="Pesquisa de Preços">
      <formula>NOT(ISERROR(SEARCH("Pesquisa de Preços",D5537)))</formula>
    </cfRule>
  </conditionalFormatting>
  <conditionalFormatting sqref="D5541">
    <cfRule type="containsText" dxfId="373" priority="832" operator="containsText" text="Pesquisa de Preços">
      <formula>NOT(ISERROR(SEARCH("Pesquisa de Preços",D5541)))</formula>
    </cfRule>
  </conditionalFormatting>
  <conditionalFormatting sqref="D5509">
    <cfRule type="containsText" dxfId="372" priority="840" operator="containsText" text="Pesquisa de Preços">
      <formula>NOT(ISERROR(SEARCH("Pesquisa de Preços",D5509)))</formula>
    </cfRule>
  </conditionalFormatting>
  <conditionalFormatting sqref="D5517 D5513">
    <cfRule type="containsText" dxfId="371" priority="838" operator="containsText" text="Pesquisa de Preços">
      <formula>NOT(ISERROR(SEARCH("Pesquisa de Preços",D5513)))</formula>
    </cfRule>
  </conditionalFormatting>
  <conditionalFormatting sqref="D5521">
    <cfRule type="containsText" dxfId="370" priority="837" operator="containsText" text="Pesquisa de Preços">
      <formula>NOT(ISERROR(SEARCH("Pesquisa de Preços",D5521)))</formula>
    </cfRule>
  </conditionalFormatting>
  <conditionalFormatting sqref="D5525">
    <cfRule type="containsText" dxfId="369" priority="836" operator="containsText" text="Pesquisa de Preços">
      <formula>NOT(ISERROR(SEARCH("Pesquisa de Preços",D5525)))</formula>
    </cfRule>
  </conditionalFormatting>
  <conditionalFormatting sqref="D5569">
    <cfRule type="containsText" dxfId="368" priority="825" operator="containsText" text="Pesquisa de Preços">
      <formula>NOT(ISERROR(SEARCH("Pesquisa de Preços",D5569)))</formula>
    </cfRule>
  </conditionalFormatting>
  <conditionalFormatting sqref="D5545">
    <cfRule type="containsText" dxfId="367" priority="831" operator="containsText" text="Pesquisa de Preços">
      <formula>NOT(ISERROR(SEARCH("Pesquisa de Preços",D5545)))</formula>
    </cfRule>
  </conditionalFormatting>
  <conditionalFormatting sqref="D5549">
    <cfRule type="containsText" dxfId="366" priority="830" operator="containsText" text="Pesquisa de Preços">
      <formula>NOT(ISERROR(SEARCH("Pesquisa de Preços",D5549)))</formula>
    </cfRule>
  </conditionalFormatting>
  <conditionalFormatting sqref="D5553">
    <cfRule type="containsText" dxfId="365" priority="829" operator="containsText" text="Pesquisa de Preços">
      <formula>NOT(ISERROR(SEARCH("Pesquisa de Preços",D5553)))</formula>
    </cfRule>
  </conditionalFormatting>
  <conditionalFormatting sqref="D5557">
    <cfRule type="containsText" dxfId="364" priority="828" operator="containsText" text="Pesquisa de Preços">
      <formula>NOT(ISERROR(SEARCH("Pesquisa de Preços",D5557)))</formula>
    </cfRule>
  </conditionalFormatting>
  <conditionalFormatting sqref="D5597">
    <cfRule type="containsText" dxfId="363" priority="818" operator="containsText" text="Pesquisa de Preços">
      <formula>NOT(ISERROR(SEARCH("Pesquisa de Preços",D5597)))</formula>
    </cfRule>
  </conditionalFormatting>
  <conditionalFormatting sqref="D5565">
    <cfRule type="containsText" dxfId="362" priority="826" operator="containsText" text="Pesquisa de Preços">
      <formula>NOT(ISERROR(SEARCH("Pesquisa de Preços",D5565)))</formula>
    </cfRule>
  </conditionalFormatting>
  <conditionalFormatting sqref="D5573">
    <cfRule type="containsText" dxfId="361" priority="824" operator="containsText" text="Pesquisa de Preços">
      <formula>NOT(ISERROR(SEARCH("Pesquisa de Preços",D5573)))</formula>
    </cfRule>
  </conditionalFormatting>
  <conditionalFormatting sqref="D5577">
    <cfRule type="containsText" dxfId="360" priority="823" operator="containsText" text="Pesquisa de Preços">
      <formula>NOT(ISERROR(SEARCH("Pesquisa de Preços",D5577)))</formula>
    </cfRule>
  </conditionalFormatting>
  <conditionalFormatting sqref="D5581">
    <cfRule type="containsText" dxfId="359" priority="822" operator="containsText" text="Pesquisa de Preços">
      <formula>NOT(ISERROR(SEARCH("Pesquisa de Preços",D5581)))</formula>
    </cfRule>
  </conditionalFormatting>
  <conditionalFormatting sqref="D5585">
    <cfRule type="containsText" dxfId="358" priority="821" operator="containsText" text="Pesquisa de Preços">
      <formula>NOT(ISERROR(SEARCH("Pesquisa de Preços",D5585)))</formula>
    </cfRule>
  </conditionalFormatting>
  <conditionalFormatting sqref="D5593 D5589">
    <cfRule type="containsText" dxfId="357" priority="819" operator="containsText" text="Pesquisa de Preços">
      <formula>NOT(ISERROR(SEARCH("Pesquisa de Preços",D5589)))</formula>
    </cfRule>
  </conditionalFormatting>
  <conditionalFormatting sqref="D5601">
    <cfRule type="containsText" dxfId="356" priority="817" operator="containsText" text="Pesquisa de Preços">
      <formula>NOT(ISERROR(SEARCH("Pesquisa de Preços",D5601)))</formula>
    </cfRule>
  </conditionalFormatting>
  <conditionalFormatting sqref="D5605">
    <cfRule type="containsText" dxfId="355" priority="816" operator="containsText" text="Pesquisa de Preços">
      <formula>NOT(ISERROR(SEARCH("Pesquisa de Preços",D5605)))</formula>
    </cfRule>
  </conditionalFormatting>
  <conditionalFormatting sqref="D5609">
    <cfRule type="containsText" dxfId="354" priority="815" operator="containsText" text="Pesquisa de Preços">
      <formula>NOT(ISERROR(SEARCH("Pesquisa de Preços",D5609)))</formula>
    </cfRule>
  </conditionalFormatting>
  <conditionalFormatting sqref="D5613">
    <cfRule type="containsText" dxfId="353" priority="814" operator="containsText" text="Pesquisa de Preços">
      <formula>NOT(ISERROR(SEARCH("Pesquisa de Preços",D5613)))</formula>
    </cfRule>
  </conditionalFormatting>
  <conditionalFormatting sqref="D5617">
    <cfRule type="containsText" dxfId="352" priority="813" operator="containsText" text="Pesquisa de Preços">
      <formula>NOT(ISERROR(SEARCH("Pesquisa de Preços",D5617)))</formula>
    </cfRule>
  </conditionalFormatting>
  <conditionalFormatting sqref="D5621">
    <cfRule type="containsText" dxfId="351" priority="812" operator="containsText" text="Pesquisa de Preços">
      <formula>NOT(ISERROR(SEARCH("Pesquisa de Preços",D5621)))</formula>
    </cfRule>
  </conditionalFormatting>
  <conditionalFormatting sqref="D5629">
    <cfRule type="containsText" dxfId="350" priority="810" operator="containsText" text="Pesquisa de Preços">
      <formula>NOT(ISERROR(SEARCH("Pesquisa de Preços",D5629)))</formula>
    </cfRule>
  </conditionalFormatting>
  <conditionalFormatting sqref="D5633">
    <cfRule type="containsText" dxfId="349" priority="809" operator="containsText" text="Pesquisa de Preços">
      <formula>NOT(ISERROR(SEARCH("Pesquisa de Preços",D5633)))</formula>
    </cfRule>
  </conditionalFormatting>
  <conditionalFormatting sqref="D5637">
    <cfRule type="containsText" dxfId="348" priority="808" operator="containsText" text="Pesquisa de Preços">
      <formula>NOT(ISERROR(SEARCH("Pesquisa de Preços",D5637)))</formula>
    </cfRule>
  </conditionalFormatting>
  <conditionalFormatting sqref="D5641">
    <cfRule type="containsText" dxfId="347" priority="807" operator="containsText" text="Pesquisa de Preços">
      <formula>NOT(ISERROR(SEARCH("Pesquisa de Preços",D5641)))</formula>
    </cfRule>
  </conditionalFormatting>
  <conditionalFormatting sqref="D5645">
    <cfRule type="containsText" dxfId="346" priority="806" operator="containsText" text="Pesquisa de Preços">
      <formula>NOT(ISERROR(SEARCH("Pesquisa de Preços",D5645)))</formula>
    </cfRule>
  </conditionalFormatting>
  <conditionalFormatting sqref="D5649">
    <cfRule type="containsText" dxfId="345" priority="805" operator="containsText" text="Pesquisa de Preços">
      <formula>NOT(ISERROR(SEARCH("Pesquisa de Preços",D5649)))</formula>
    </cfRule>
  </conditionalFormatting>
  <conditionalFormatting sqref="D5653">
    <cfRule type="containsText" dxfId="344" priority="804" operator="containsText" text="Pesquisa de Preços">
      <formula>NOT(ISERROR(SEARCH("Pesquisa de Preços",D5653)))</formula>
    </cfRule>
  </conditionalFormatting>
  <conditionalFormatting sqref="D5657">
    <cfRule type="containsText" dxfId="343" priority="803" operator="containsText" text="Pesquisa de Preços">
      <formula>NOT(ISERROR(SEARCH("Pesquisa de Preços",D5657)))</formula>
    </cfRule>
  </conditionalFormatting>
  <conditionalFormatting sqref="D5661">
    <cfRule type="containsText" dxfId="342" priority="802" operator="containsText" text="Pesquisa de Preços">
      <formula>NOT(ISERROR(SEARCH("Pesquisa de Preços",D5661)))</formula>
    </cfRule>
  </conditionalFormatting>
  <conditionalFormatting sqref="D5665">
    <cfRule type="containsText" dxfId="341" priority="801" operator="containsText" text="Pesquisa de Preços">
      <formula>NOT(ISERROR(SEARCH("Pesquisa de Preços",D5665)))</formula>
    </cfRule>
  </conditionalFormatting>
  <conditionalFormatting sqref="D5669">
    <cfRule type="containsText" dxfId="340" priority="800" operator="containsText" text="Pesquisa de Preços">
      <formula>NOT(ISERROR(SEARCH("Pesquisa de Preços",D5669)))</formula>
    </cfRule>
  </conditionalFormatting>
  <conditionalFormatting sqref="D5673">
    <cfRule type="containsText" dxfId="339" priority="799" operator="containsText" text="Pesquisa de Preços">
      <formula>NOT(ISERROR(SEARCH("Pesquisa de Preços",D5673)))</formula>
    </cfRule>
  </conditionalFormatting>
  <conditionalFormatting sqref="D5677">
    <cfRule type="containsText" dxfId="338" priority="798" operator="containsText" text="Pesquisa de Preços">
      <formula>NOT(ISERROR(SEARCH("Pesquisa de Preços",D5677)))</formula>
    </cfRule>
  </conditionalFormatting>
  <conditionalFormatting sqref="D5681">
    <cfRule type="containsText" dxfId="337" priority="797" operator="containsText" text="Pesquisa de Preços">
      <formula>NOT(ISERROR(SEARCH("Pesquisa de Preços",D5681)))</formula>
    </cfRule>
  </conditionalFormatting>
  <conditionalFormatting sqref="D5685">
    <cfRule type="containsText" dxfId="336" priority="796" operator="containsText" text="Pesquisa de Preços">
      <formula>NOT(ISERROR(SEARCH("Pesquisa de Preços",D5685)))</formula>
    </cfRule>
  </conditionalFormatting>
  <conditionalFormatting sqref="D5689">
    <cfRule type="containsText" dxfId="335" priority="795" operator="containsText" text="Pesquisa de Preços">
      <formula>NOT(ISERROR(SEARCH("Pesquisa de Preços",D5689)))</formula>
    </cfRule>
  </conditionalFormatting>
  <conditionalFormatting sqref="D5693">
    <cfRule type="containsText" dxfId="334" priority="794" operator="containsText" text="Pesquisa de Preços">
      <formula>NOT(ISERROR(SEARCH("Pesquisa de Preços",D5693)))</formula>
    </cfRule>
  </conditionalFormatting>
  <conditionalFormatting sqref="D5733">
    <cfRule type="containsText" dxfId="333" priority="784" operator="containsText" text="Pesquisa de Preços">
      <formula>NOT(ISERROR(SEARCH("Pesquisa de Preços",D5733)))</formula>
    </cfRule>
  </conditionalFormatting>
  <conditionalFormatting sqref="D5737">
    <cfRule type="containsText" dxfId="332" priority="783" operator="containsText" text="Pesquisa de Preços">
      <formula>NOT(ISERROR(SEARCH("Pesquisa de Preços",D5737)))</formula>
    </cfRule>
  </conditionalFormatting>
  <conditionalFormatting sqref="D5705">
    <cfRule type="containsText" dxfId="331" priority="791" operator="containsText" text="Pesquisa de Preços">
      <formula>NOT(ISERROR(SEARCH("Pesquisa de Preços",D5705)))</formula>
    </cfRule>
  </conditionalFormatting>
  <conditionalFormatting sqref="D5709">
    <cfRule type="containsText" dxfId="330" priority="790" operator="containsText" text="Pesquisa de Preços">
      <formula>NOT(ISERROR(SEARCH("Pesquisa de Preços",D5709)))</formula>
    </cfRule>
  </conditionalFormatting>
  <conditionalFormatting sqref="D5713">
    <cfRule type="containsText" dxfId="329" priority="789" operator="containsText" text="Pesquisa de Preços">
      <formula>NOT(ISERROR(SEARCH("Pesquisa de Preços",D5713)))</formula>
    </cfRule>
  </conditionalFormatting>
  <conditionalFormatting sqref="D5717">
    <cfRule type="containsText" dxfId="328" priority="788" operator="containsText" text="Pesquisa de Preços">
      <formula>NOT(ISERROR(SEARCH("Pesquisa de Preços",D5717)))</formula>
    </cfRule>
  </conditionalFormatting>
  <conditionalFormatting sqref="D5721">
    <cfRule type="containsText" dxfId="327" priority="787" operator="containsText" text="Pesquisa de Preços">
      <formula>NOT(ISERROR(SEARCH("Pesquisa de Preços",D5721)))</formula>
    </cfRule>
  </conditionalFormatting>
  <conditionalFormatting sqref="D5725">
    <cfRule type="containsText" dxfId="326" priority="786" operator="containsText" text="Pesquisa de Preços">
      <formula>NOT(ISERROR(SEARCH("Pesquisa de Preços",D5725)))</formula>
    </cfRule>
  </conditionalFormatting>
  <conditionalFormatting sqref="D5765">
    <cfRule type="containsText" dxfId="325" priority="776" operator="containsText" text="Pesquisa de Preços">
      <formula>NOT(ISERROR(SEARCH("Pesquisa de Preços",D5765)))</formula>
    </cfRule>
  </conditionalFormatting>
  <conditionalFormatting sqref="D5741">
    <cfRule type="containsText" dxfId="324" priority="782" operator="containsText" text="Pesquisa de Preços">
      <formula>NOT(ISERROR(SEARCH("Pesquisa de Preços",D5741)))</formula>
    </cfRule>
  </conditionalFormatting>
  <conditionalFormatting sqref="D5745">
    <cfRule type="containsText" dxfId="323" priority="781" operator="containsText" text="Pesquisa de Preços">
      <formula>NOT(ISERROR(SEARCH("Pesquisa de Preços",D5745)))</formula>
    </cfRule>
  </conditionalFormatting>
  <conditionalFormatting sqref="D5749">
    <cfRule type="containsText" dxfId="322" priority="780" operator="containsText" text="Pesquisa de Preços">
      <formula>NOT(ISERROR(SEARCH("Pesquisa de Preços",D5749)))</formula>
    </cfRule>
  </conditionalFormatting>
  <conditionalFormatting sqref="D5753">
    <cfRule type="containsText" dxfId="321" priority="779" operator="containsText" text="Pesquisa de Preços">
      <formula>NOT(ISERROR(SEARCH("Pesquisa de Preços",D5753)))</formula>
    </cfRule>
  </conditionalFormatting>
  <conditionalFormatting sqref="D5793 D5789 D5785">
    <cfRule type="containsText" dxfId="320" priority="769" operator="containsText" text="Pesquisa de Preços">
      <formula>NOT(ISERROR(SEARCH("Pesquisa de Preços",D5785)))</formula>
    </cfRule>
  </conditionalFormatting>
  <conditionalFormatting sqref="D5761">
    <cfRule type="containsText" dxfId="319" priority="777" operator="containsText" text="Pesquisa de Preços">
      <formula>NOT(ISERROR(SEARCH("Pesquisa de Preços",D5761)))</formula>
    </cfRule>
  </conditionalFormatting>
  <conditionalFormatting sqref="D5769">
    <cfRule type="containsText" dxfId="318" priority="775" operator="containsText" text="Pesquisa de Preços">
      <formula>NOT(ISERROR(SEARCH("Pesquisa de Preços",D5769)))</formula>
    </cfRule>
  </conditionalFormatting>
  <conditionalFormatting sqref="D5781">
    <cfRule type="containsText" dxfId="317" priority="772" operator="containsText" text="Pesquisa de Preços">
      <formula>NOT(ISERROR(SEARCH("Pesquisa de Preços",D5781)))</formula>
    </cfRule>
  </conditionalFormatting>
  <conditionalFormatting sqref="D5953">
    <cfRule type="containsText" dxfId="316" priority="729" operator="containsText" text="Pesquisa de Preços">
      <formula>NOT(ISERROR(SEARCH("Pesquisa de Preços",D5953)))</formula>
    </cfRule>
  </conditionalFormatting>
  <conditionalFormatting sqref="D5797">
    <cfRule type="containsText" dxfId="315" priority="768" operator="containsText" text="Pesquisa de Preços">
      <formula>NOT(ISERROR(SEARCH("Pesquisa de Preços",D5797)))</formula>
    </cfRule>
  </conditionalFormatting>
  <conditionalFormatting sqref="D5801">
    <cfRule type="containsText" dxfId="314" priority="767" operator="containsText" text="Pesquisa de Preços">
      <formula>NOT(ISERROR(SEARCH("Pesquisa de Preços",D5801)))</formula>
    </cfRule>
  </conditionalFormatting>
  <conditionalFormatting sqref="D5841">
    <cfRule type="containsText" dxfId="313" priority="757" operator="containsText" text="Pesquisa de Preços">
      <formula>NOT(ISERROR(SEARCH("Pesquisa de Preços",D5841)))</formula>
    </cfRule>
  </conditionalFormatting>
  <conditionalFormatting sqref="D5809">
    <cfRule type="containsText" dxfId="312" priority="765" operator="containsText" text="Pesquisa de Preços">
      <formula>NOT(ISERROR(SEARCH("Pesquisa de Preços",D5809)))</formula>
    </cfRule>
  </conditionalFormatting>
  <conditionalFormatting sqref="D5817 D5813">
    <cfRule type="containsText" dxfId="311" priority="763" operator="containsText" text="Pesquisa de Preços">
      <formula>NOT(ISERROR(SEARCH("Pesquisa de Preços",D5813)))</formula>
    </cfRule>
  </conditionalFormatting>
  <conditionalFormatting sqref="D5821">
    <cfRule type="containsText" dxfId="310" priority="762" operator="containsText" text="Pesquisa de Preços">
      <formula>NOT(ISERROR(SEARCH("Pesquisa de Preços",D5821)))</formula>
    </cfRule>
  </conditionalFormatting>
  <conditionalFormatting sqref="D5825">
    <cfRule type="containsText" dxfId="309" priority="761" operator="containsText" text="Pesquisa de Preços">
      <formula>NOT(ISERROR(SEARCH("Pesquisa de Preços",D5825)))</formula>
    </cfRule>
  </conditionalFormatting>
  <conditionalFormatting sqref="D5865">
    <cfRule type="containsText" dxfId="308" priority="751" operator="containsText" text="Pesquisa de Preços">
      <formula>NOT(ISERROR(SEARCH("Pesquisa de Preços",D5865)))</formula>
    </cfRule>
  </conditionalFormatting>
  <conditionalFormatting sqref="D5833">
    <cfRule type="containsText" dxfId="307" priority="759" operator="containsText" text="Pesquisa de Preços">
      <formula>NOT(ISERROR(SEARCH("Pesquisa de Preços",D5833)))</formula>
    </cfRule>
  </conditionalFormatting>
  <conditionalFormatting sqref="D5837">
    <cfRule type="containsText" dxfId="306" priority="758" operator="containsText" text="Pesquisa de Preços">
      <formula>NOT(ISERROR(SEARCH("Pesquisa de Preços",D5837)))</formula>
    </cfRule>
  </conditionalFormatting>
  <conditionalFormatting sqref="D5845">
    <cfRule type="containsText" dxfId="305" priority="756" operator="containsText" text="Pesquisa de Preços">
      <formula>NOT(ISERROR(SEARCH("Pesquisa de Preços",D5845)))</formula>
    </cfRule>
  </conditionalFormatting>
  <conditionalFormatting sqref="D5849">
    <cfRule type="containsText" dxfId="304" priority="755" operator="containsText" text="Pesquisa de Preços">
      <formula>NOT(ISERROR(SEARCH("Pesquisa de Preços",D5849)))</formula>
    </cfRule>
  </conditionalFormatting>
  <conditionalFormatting sqref="D5853">
    <cfRule type="containsText" dxfId="303" priority="754" operator="containsText" text="Pesquisa de Preços">
      <formula>NOT(ISERROR(SEARCH("Pesquisa de Preços",D5853)))</formula>
    </cfRule>
  </conditionalFormatting>
  <conditionalFormatting sqref="D5857">
    <cfRule type="containsText" dxfId="302" priority="753" operator="containsText" text="Pesquisa de Preços">
      <formula>NOT(ISERROR(SEARCH("Pesquisa de Preços",D5857)))</formula>
    </cfRule>
  </conditionalFormatting>
  <conditionalFormatting sqref="D5869">
    <cfRule type="containsText" dxfId="301" priority="749" operator="containsText" text="Pesquisa de Preços">
      <formula>NOT(ISERROR(SEARCH("Pesquisa de Preços",D5869)))</formula>
    </cfRule>
  </conditionalFormatting>
  <conditionalFormatting sqref="D5873">
    <cfRule type="containsText" dxfId="300" priority="748" operator="containsText" text="Pesquisa de Preços">
      <formula>NOT(ISERROR(SEARCH("Pesquisa de Preços",D5873)))</formula>
    </cfRule>
  </conditionalFormatting>
  <conditionalFormatting sqref="D5877">
    <cfRule type="containsText" dxfId="299" priority="747" operator="containsText" text="Pesquisa de Preços">
      <formula>NOT(ISERROR(SEARCH("Pesquisa de Preços",D5877)))</formula>
    </cfRule>
  </conditionalFormatting>
  <conditionalFormatting sqref="D5881">
    <cfRule type="containsText" dxfId="298" priority="746" operator="containsText" text="Pesquisa de Preços">
      <formula>NOT(ISERROR(SEARCH("Pesquisa de Preços",D5881)))</formula>
    </cfRule>
  </conditionalFormatting>
  <conditionalFormatting sqref="D5885">
    <cfRule type="containsText" dxfId="297" priority="745" operator="containsText" text="Pesquisa de Preços">
      <formula>NOT(ISERROR(SEARCH("Pesquisa de Preços",D5885)))</formula>
    </cfRule>
  </conditionalFormatting>
  <conditionalFormatting sqref="D5889">
    <cfRule type="containsText" dxfId="296" priority="744" operator="containsText" text="Pesquisa de Preços">
      <formula>NOT(ISERROR(SEARCH("Pesquisa de Preços",D5889)))</formula>
    </cfRule>
  </conditionalFormatting>
  <conditionalFormatting sqref="D5897">
    <cfRule type="containsText" dxfId="295" priority="742" operator="containsText" text="Pesquisa de Preços">
      <formula>NOT(ISERROR(SEARCH("Pesquisa de Preços",D5897)))</formula>
    </cfRule>
  </conditionalFormatting>
  <conditionalFormatting sqref="D5901">
    <cfRule type="containsText" dxfId="294" priority="741" operator="containsText" text="Pesquisa de Preços">
      <formula>NOT(ISERROR(SEARCH("Pesquisa de Preços",D5901)))</formula>
    </cfRule>
  </conditionalFormatting>
  <conditionalFormatting sqref="D5905">
    <cfRule type="containsText" dxfId="293" priority="740" operator="containsText" text="Pesquisa de Preços">
      <formula>NOT(ISERROR(SEARCH("Pesquisa de Preços",D5905)))</formula>
    </cfRule>
  </conditionalFormatting>
  <conditionalFormatting sqref="D5909">
    <cfRule type="containsText" dxfId="292" priority="739" operator="containsText" text="Pesquisa de Preços">
      <formula>NOT(ISERROR(SEARCH("Pesquisa de Preços",D5909)))</formula>
    </cfRule>
  </conditionalFormatting>
  <conditionalFormatting sqref="D5913">
    <cfRule type="containsText" dxfId="291" priority="738" operator="containsText" text="Pesquisa de Preços">
      <formula>NOT(ISERROR(SEARCH("Pesquisa de Preços",D5913)))</formula>
    </cfRule>
  </conditionalFormatting>
  <conditionalFormatting sqref="D5917">
    <cfRule type="containsText" dxfId="290" priority="737" operator="containsText" text="Pesquisa de Preços">
      <formula>NOT(ISERROR(SEARCH("Pesquisa de Preços",D5917)))</formula>
    </cfRule>
  </conditionalFormatting>
  <conditionalFormatting sqref="D5921">
    <cfRule type="containsText" dxfId="289" priority="736" operator="containsText" text="Pesquisa de Preços">
      <formula>NOT(ISERROR(SEARCH("Pesquisa de Preços",D5921)))</formula>
    </cfRule>
  </conditionalFormatting>
  <conditionalFormatting sqref="D5925">
    <cfRule type="containsText" dxfId="288" priority="735" operator="containsText" text="Pesquisa de Preços">
      <formula>NOT(ISERROR(SEARCH("Pesquisa de Preços",D5925)))</formula>
    </cfRule>
  </conditionalFormatting>
  <conditionalFormatting sqref="D5929">
    <cfRule type="containsText" dxfId="287" priority="734" operator="containsText" text="Pesquisa de Preços">
      <formula>NOT(ISERROR(SEARCH("Pesquisa de Preços",D5929)))</formula>
    </cfRule>
  </conditionalFormatting>
  <conditionalFormatting sqref="D5933">
    <cfRule type="containsText" dxfId="286" priority="733" operator="containsText" text="Pesquisa de Preços">
      <formula>NOT(ISERROR(SEARCH("Pesquisa de Preços",D5933)))</formula>
    </cfRule>
  </conditionalFormatting>
  <conditionalFormatting sqref="D5937">
    <cfRule type="containsText" dxfId="285" priority="732" operator="containsText" text="Pesquisa de Preços">
      <formula>NOT(ISERROR(SEARCH("Pesquisa de Preços",D5937)))</formula>
    </cfRule>
  </conditionalFormatting>
  <conditionalFormatting sqref="D5941">
    <cfRule type="containsText" dxfId="284" priority="731" operator="containsText" text="Pesquisa de Preços">
      <formula>NOT(ISERROR(SEARCH("Pesquisa de Preços",D5941)))</formula>
    </cfRule>
  </conditionalFormatting>
  <conditionalFormatting sqref="D5949">
    <cfRule type="containsText" dxfId="283" priority="730" operator="containsText" text="Pesquisa de Preços">
      <formula>NOT(ISERROR(SEARCH("Pesquisa de Preços",D5949)))</formula>
    </cfRule>
  </conditionalFormatting>
  <conditionalFormatting sqref="D118">
    <cfRule type="containsText" dxfId="282" priority="726" operator="containsText" text="Pesquisa de Preços">
      <formula>NOT(ISERROR(SEARCH("Pesquisa de Preços",D118)))</formula>
    </cfRule>
  </conditionalFormatting>
  <conditionalFormatting sqref="D119">
    <cfRule type="containsText" dxfId="281" priority="725" operator="containsText" text="Pesquisa de Preços">
      <formula>NOT(ISERROR(SEARCH("Pesquisa de Preços",D119)))</formula>
    </cfRule>
  </conditionalFormatting>
  <conditionalFormatting sqref="E118">
    <cfRule type="containsText" dxfId="280" priority="724" operator="containsText" text="Pesquisa de Preços">
      <formula>NOT(ISERROR(SEARCH("Pesquisa de Preços",E118)))</formula>
    </cfRule>
  </conditionalFormatting>
  <conditionalFormatting sqref="E119">
    <cfRule type="containsText" dxfId="279" priority="723" operator="containsText" text="Pesquisa de Preços">
      <formula>NOT(ISERROR(SEARCH("Pesquisa de Preços",E119)))</formula>
    </cfRule>
  </conditionalFormatting>
  <conditionalFormatting sqref="D692:D693">
    <cfRule type="containsText" dxfId="278" priority="717" operator="containsText" text="Pesquisa de Preços">
      <formula>NOT(ISERROR(SEARCH("Pesquisa de Preços",D692)))</formula>
    </cfRule>
  </conditionalFormatting>
  <conditionalFormatting sqref="E692:E693">
    <cfRule type="containsText" dxfId="277" priority="716" operator="containsText" text="Pesquisa de Preços">
      <formula>NOT(ISERROR(SEARCH("Pesquisa de Preços",E692)))</formula>
    </cfRule>
  </conditionalFormatting>
  <conditionalFormatting sqref="D860">
    <cfRule type="containsText" dxfId="276" priority="713" operator="containsText" text="Pesquisa de Preços">
      <formula>NOT(ISERROR(SEARCH("Pesquisa de Preços",D860)))</formula>
    </cfRule>
  </conditionalFormatting>
  <conditionalFormatting sqref="E860">
    <cfRule type="containsText" dxfId="275" priority="712" operator="containsText" text="Pesquisa de Preços">
      <formula>NOT(ISERROR(SEARCH("Pesquisa de Preços",E860)))</formula>
    </cfRule>
  </conditionalFormatting>
  <conditionalFormatting sqref="D864">
    <cfRule type="containsText" dxfId="274" priority="711" operator="containsText" text="Pesquisa de Preços">
      <formula>NOT(ISERROR(SEARCH("Pesquisa de Preços",D864)))</formula>
    </cfRule>
  </conditionalFormatting>
  <conditionalFormatting sqref="E864">
    <cfRule type="containsText" dxfId="273" priority="710" operator="containsText" text="Pesquisa de Preços">
      <formula>NOT(ISERROR(SEARCH("Pesquisa de Preços",E864)))</formula>
    </cfRule>
  </conditionalFormatting>
  <conditionalFormatting sqref="D877">
    <cfRule type="containsText" dxfId="272" priority="707" operator="containsText" text="Pesquisa de Preços">
      <formula>NOT(ISERROR(SEARCH("Pesquisa de Preços",D877)))</formula>
    </cfRule>
  </conditionalFormatting>
  <conditionalFormatting sqref="E877">
    <cfRule type="containsText" dxfId="271" priority="706" operator="containsText" text="Pesquisa de Preços">
      <formula>NOT(ISERROR(SEARCH("Pesquisa de Preços",E877)))</formula>
    </cfRule>
  </conditionalFormatting>
  <conditionalFormatting sqref="E881">
    <cfRule type="containsText" dxfId="270" priority="701" operator="containsText" text="Pesquisa de Preços">
      <formula>NOT(ISERROR(SEARCH("Pesquisa de Preços",E881)))</formula>
    </cfRule>
  </conditionalFormatting>
  <conditionalFormatting sqref="E882 E884">
    <cfRule type="containsText" dxfId="269" priority="702" operator="containsText" text="Pesquisa de Preços">
      <formula>NOT(ISERROR(SEARCH("Pesquisa de Preços",E882)))</formula>
    </cfRule>
  </conditionalFormatting>
  <conditionalFormatting sqref="E883">
    <cfRule type="containsText" dxfId="268" priority="696" operator="containsText" text="Pesquisa de Preços">
      <formula>NOT(ISERROR(SEARCH("Pesquisa de Preços",E883)))</formula>
    </cfRule>
  </conditionalFormatting>
  <conditionalFormatting sqref="D883">
    <cfRule type="containsText" dxfId="267" priority="699" operator="containsText" text="Pesquisa de Preços">
      <formula>NOT(ISERROR(SEARCH("Pesquisa de Preços",D883)))</formula>
    </cfRule>
  </conditionalFormatting>
  <conditionalFormatting sqref="D5102">
    <cfRule type="containsText" dxfId="266" priority="681" operator="containsText" text="Pesquisa de Preços">
      <formula>NOT(ISERROR(SEARCH("Pesquisa de Preços",D5102)))</formula>
    </cfRule>
  </conditionalFormatting>
  <conditionalFormatting sqref="D5103">
    <cfRule type="containsText" dxfId="265" priority="685" operator="containsText" text="Pesquisa de Preços">
      <formula>NOT(ISERROR(SEARCH("Pesquisa de Preços",D5103)))</formula>
    </cfRule>
  </conditionalFormatting>
  <conditionalFormatting sqref="D5101">
    <cfRule type="containsText" dxfId="264" priority="682" operator="containsText" text="Pesquisa de Preços">
      <formula>NOT(ISERROR(SEARCH("Pesquisa de Preços",D5101)))</formula>
    </cfRule>
  </conditionalFormatting>
  <conditionalFormatting sqref="D5089">
    <cfRule type="containsText" dxfId="263" priority="655" operator="containsText" text="Pesquisa de Preços">
      <formula>NOT(ISERROR(SEARCH("Pesquisa de Preços",D5089)))</formula>
    </cfRule>
  </conditionalFormatting>
  <conditionalFormatting sqref="D5140">
    <cfRule type="containsText" dxfId="262" priority="642" operator="containsText" text="Pesquisa de Preços">
      <formula>NOT(ISERROR(SEARCH("Pesquisa de Preços",D5140)))</formula>
    </cfRule>
  </conditionalFormatting>
  <conditionalFormatting sqref="D5138">
    <cfRule type="containsText" dxfId="261" priority="645" operator="containsText" text="Pesquisa de Preços">
      <formula>NOT(ISERROR(SEARCH("Pesquisa de Preços",D5138)))</formula>
    </cfRule>
  </conditionalFormatting>
  <conditionalFormatting sqref="D5142">
    <cfRule type="containsText" dxfId="260" priority="641" operator="containsText" text="Pesquisa de Preços">
      <formula>NOT(ISERROR(SEARCH("Pesquisa de Preços",D5142)))</formula>
    </cfRule>
  </conditionalFormatting>
  <conditionalFormatting sqref="D5175">
    <cfRule type="containsText" dxfId="259" priority="637" operator="containsText" text="Pesquisa de Preços">
      <formula>NOT(ISERROR(SEARCH("Pesquisa de Preços",D5175)))</formula>
    </cfRule>
  </conditionalFormatting>
  <conditionalFormatting sqref="D5176:D5177">
    <cfRule type="containsText" dxfId="258" priority="636" operator="containsText" text="Pesquisa de Preços">
      <formula>NOT(ISERROR(SEARCH("Pesquisa de Preços",D5176)))</formula>
    </cfRule>
  </conditionalFormatting>
  <conditionalFormatting sqref="D5178">
    <cfRule type="containsText" dxfId="257" priority="635" operator="containsText" text="Pesquisa de Preços">
      <formula>NOT(ISERROR(SEARCH("Pesquisa de Preços",D5178)))</formula>
    </cfRule>
  </conditionalFormatting>
  <conditionalFormatting sqref="E5176:E5177">
    <cfRule type="containsText" dxfId="256" priority="634" operator="containsText" text="Pesquisa de Preços">
      <formula>NOT(ISERROR(SEARCH("Pesquisa de Preços",E5176)))</formula>
    </cfRule>
  </conditionalFormatting>
  <conditionalFormatting sqref="E5175">
    <cfRule type="containsText" dxfId="255" priority="633" operator="containsText" text="Pesquisa de Preços">
      <formula>NOT(ISERROR(SEARCH("Pesquisa de Preços",E5175)))</formula>
    </cfRule>
  </conditionalFormatting>
  <conditionalFormatting sqref="E5178">
    <cfRule type="containsText" dxfId="254" priority="632" operator="containsText" text="Pesquisa de Preços">
      <formula>NOT(ISERROR(SEARCH("Pesquisa de Preços",E5178)))</formula>
    </cfRule>
  </conditionalFormatting>
  <conditionalFormatting sqref="D5182">
    <cfRule type="containsText" dxfId="253" priority="626" operator="containsText" text="Pesquisa de Preços">
      <formula>NOT(ISERROR(SEARCH("Pesquisa de Preços",D5182)))</formula>
    </cfRule>
  </conditionalFormatting>
  <conditionalFormatting sqref="D5183:D5184">
    <cfRule type="containsText" dxfId="252" priority="625" operator="containsText" text="Pesquisa de Preços">
      <formula>NOT(ISERROR(SEARCH("Pesquisa de Preços",D5183)))</formula>
    </cfRule>
  </conditionalFormatting>
  <conditionalFormatting sqref="D5185:D5186">
    <cfRule type="containsText" dxfId="251" priority="624" operator="containsText" text="Pesquisa de Preços">
      <formula>NOT(ISERROR(SEARCH("Pesquisa de Preços",D5185)))</formula>
    </cfRule>
  </conditionalFormatting>
  <conditionalFormatting sqref="E5183:E5184">
    <cfRule type="containsText" dxfId="250" priority="623" operator="containsText" text="Pesquisa de Preços">
      <formula>NOT(ISERROR(SEARCH("Pesquisa de Preços",E5183)))</formula>
    </cfRule>
  </conditionalFormatting>
  <conditionalFormatting sqref="E5182">
    <cfRule type="containsText" dxfId="249" priority="622" operator="containsText" text="Pesquisa de Preços">
      <formula>NOT(ISERROR(SEARCH("Pesquisa de Preços",E5182)))</formula>
    </cfRule>
  </conditionalFormatting>
  <conditionalFormatting sqref="E5185:E5186">
    <cfRule type="containsText" dxfId="248" priority="621" operator="containsText" text="Pesquisa de Preços">
      <formula>NOT(ISERROR(SEARCH("Pesquisa de Preços",E5185)))</formula>
    </cfRule>
  </conditionalFormatting>
  <conditionalFormatting sqref="E5180">
    <cfRule type="containsText" dxfId="247" priority="614" operator="containsText" text="Pesquisa de Preços">
      <formula>NOT(ISERROR(SEARCH("Pesquisa de Preços",E5180)))</formula>
    </cfRule>
  </conditionalFormatting>
  <conditionalFormatting sqref="D5187">
    <cfRule type="containsText" dxfId="246" priority="608" operator="containsText" text="Pesquisa de Preços">
      <formula>NOT(ISERROR(SEARCH("Pesquisa de Preços",D5187)))</formula>
    </cfRule>
  </conditionalFormatting>
  <conditionalFormatting sqref="E5187">
    <cfRule type="containsText" dxfId="245" priority="607" operator="containsText" text="Pesquisa de Preços">
      <formula>NOT(ISERROR(SEARCH("Pesquisa de Preços",E5187)))</formula>
    </cfRule>
  </conditionalFormatting>
  <conditionalFormatting sqref="D5179">
    <cfRule type="containsText" dxfId="244" priority="590" operator="containsText" text="Pesquisa de Preços">
      <formula>NOT(ISERROR(SEARCH("Pesquisa de Preços",D5179)))</formula>
    </cfRule>
  </conditionalFormatting>
  <conditionalFormatting sqref="E5179">
    <cfRule type="containsText" dxfId="243" priority="589" operator="containsText" text="Pesquisa de Preços">
      <formula>NOT(ISERROR(SEARCH("Pesquisa de Preços",E5179)))</formula>
    </cfRule>
  </conditionalFormatting>
  <conditionalFormatting sqref="D5180">
    <cfRule type="containsText" dxfId="242" priority="586" operator="containsText" text="Pesquisa de Preços">
      <formula>NOT(ISERROR(SEARCH("Pesquisa de Preços",D5180)))</formula>
    </cfRule>
  </conditionalFormatting>
  <conditionalFormatting sqref="E5203">
    <cfRule type="containsText" dxfId="241" priority="551" operator="containsText" text="Pesquisa de Preços">
      <formula>NOT(ISERROR(SEARCH("Pesquisa de Preços",E5203)))</formula>
    </cfRule>
  </conditionalFormatting>
  <conditionalFormatting sqref="D5193">
    <cfRule type="containsText" dxfId="240" priority="574" operator="containsText" text="Pesquisa de Preços">
      <formula>NOT(ISERROR(SEARCH("Pesquisa de Preços",D5193)))</formula>
    </cfRule>
  </conditionalFormatting>
  <conditionalFormatting sqref="D5189">
    <cfRule type="containsText" dxfId="239" priority="582" operator="containsText" text="Pesquisa de Preços">
      <formula>NOT(ISERROR(SEARCH("Pesquisa de Preços",D5189)))</formula>
    </cfRule>
  </conditionalFormatting>
  <conditionalFormatting sqref="D5191">
    <cfRule type="containsText" dxfId="238" priority="571" operator="containsText" text="Pesquisa de Preços">
      <formula>NOT(ISERROR(SEARCH("Pesquisa de Preços",D5191)))</formula>
    </cfRule>
  </conditionalFormatting>
  <conditionalFormatting sqref="E5191">
    <cfRule type="containsText" dxfId="237" priority="570" operator="containsText" text="Pesquisa de Preços">
      <formula>NOT(ISERROR(SEARCH("Pesquisa de Preços",E5191)))</formula>
    </cfRule>
  </conditionalFormatting>
  <conditionalFormatting sqref="D5195">
    <cfRule type="containsText" dxfId="236" priority="566" operator="containsText" text="Pesquisa de Preços">
      <formula>NOT(ISERROR(SEARCH("Pesquisa de Preços",D5195)))</formula>
    </cfRule>
  </conditionalFormatting>
  <conditionalFormatting sqref="D5198">
    <cfRule type="containsText" dxfId="235" priority="563" operator="containsText" text="Pesquisa de Preços">
      <formula>NOT(ISERROR(SEARCH("Pesquisa de Preços",D5198)))</formula>
    </cfRule>
  </conditionalFormatting>
  <conditionalFormatting sqref="D5196 D5199:D5200">
    <cfRule type="containsText" dxfId="234" priority="565" operator="containsText" text="Pesquisa de Preços">
      <formula>NOT(ISERROR(SEARCH("Pesquisa de Preços",D5196)))</formula>
    </cfRule>
  </conditionalFormatting>
  <conditionalFormatting sqref="D5197">
    <cfRule type="containsText" dxfId="233" priority="564" operator="containsText" text="Pesquisa de Preços">
      <formula>NOT(ISERROR(SEARCH("Pesquisa de Preços",D5197)))</formula>
    </cfRule>
  </conditionalFormatting>
  <conditionalFormatting sqref="E5200">
    <cfRule type="containsText" dxfId="232" priority="562" operator="containsText" text="Pesquisa de Preços">
      <formula>NOT(ISERROR(SEARCH("Pesquisa de Preços",E5200)))</formula>
    </cfRule>
  </conditionalFormatting>
  <conditionalFormatting sqref="D5201">
    <cfRule type="containsText" dxfId="231" priority="558" operator="containsText" text="Pesquisa de Preços">
      <formula>NOT(ISERROR(SEARCH("Pesquisa de Preços",D5201)))</formula>
    </cfRule>
  </conditionalFormatting>
  <conditionalFormatting sqref="D5202 D5206:D5207">
    <cfRule type="containsText" dxfId="230" priority="557" operator="containsText" text="Pesquisa de Preços">
      <formula>NOT(ISERROR(SEARCH("Pesquisa de Preços",D5202)))</formula>
    </cfRule>
  </conditionalFormatting>
  <conditionalFormatting sqref="D5204">
    <cfRule type="containsText" dxfId="229" priority="555" operator="containsText" text="Pesquisa de Preços">
      <formula>NOT(ISERROR(SEARCH("Pesquisa de Preços",D5204)))</formula>
    </cfRule>
  </conditionalFormatting>
  <conditionalFormatting sqref="D5203">
    <cfRule type="containsText" dxfId="228" priority="556" operator="containsText" text="Pesquisa de Preços">
      <formula>NOT(ISERROR(SEARCH("Pesquisa de Preços",D5203)))</formula>
    </cfRule>
  </conditionalFormatting>
  <conditionalFormatting sqref="D5205">
    <cfRule type="containsText" dxfId="227" priority="554" operator="containsText" text="Pesquisa de Preços">
      <formula>NOT(ISERROR(SEARCH("Pesquisa de Preços",D5205)))</formula>
    </cfRule>
  </conditionalFormatting>
  <conditionalFormatting sqref="E5201">
    <cfRule type="containsText" dxfId="226" priority="552" operator="containsText" text="Pesquisa de Preços">
      <formula>NOT(ISERROR(SEARCH("Pesquisa de Preços",E5201)))</formula>
    </cfRule>
  </conditionalFormatting>
  <conditionalFormatting sqref="E5202 E5206:E5207">
    <cfRule type="containsText" dxfId="225" priority="553" operator="containsText" text="Pesquisa de Preços">
      <formula>NOT(ISERROR(SEARCH("Pesquisa de Preços",E5202)))</formula>
    </cfRule>
  </conditionalFormatting>
  <conditionalFormatting sqref="E5205">
    <cfRule type="containsText" dxfId="224" priority="550" operator="containsText" text="Pesquisa de Preços">
      <formula>NOT(ISERROR(SEARCH("Pesquisa de Preços",E5205)))</formula>
    </cfRule>
  </conditionalFormatting>
  <conditionalFormatting sqref="E5210">
    <cfRule type="containsText" dxfId="223" priority="539" operator="containsText" text="Pesquisa de Preços">
      <formula>NOT(ISERROR(SEARCH("Pesquisa de Preços",E5210)))</formula>
    </cfRule>
  </conditionalFormatting>
  <conditionalFormatting sqref="D5208">
    <cfRule type="containsText" dxfId="222" priority="546" operator="containsText" text="Pesquisa de Preços">
      <formula>NOT(ISERROR(SEARCH("Pesquisa de Preços",D5208)))</formula>
    </cfRule>
  </conditionalFormatting>
  <conditionalFormatting sqref="D5209 D5213">
    <cfRule type="containsText" dxfId="221" priority="545" operator="containsText" text="Pesquisa de Preços">
      <formula>NOT(ISERROR(SEARCH("Pesquisa de Preços",D5209)))</formula>
    </cfRule>
  </conditionalFormatting>
  <conditionalFormatting sqref="D5211">
    <cfRule type="containsText" dxfId="220" priority="543" operator="containsText" text="Pesquisa de Preços">
      <formula>NOT(ISERROR(SEARCH("Pesquisa de Preços",D5211)))</formula>
    </cfRule>
  </conditionalFormatting>
  <conditionalFormatting sqref="D5210">
    <cfRule type="containsText" dxfId="219" priority="544" operator="containsText" text="Pesquisa de Preços">
      <formula>NOT(ISERROR(SEARCH("Pesquisa de Preços",D5210)))</formula>
    </cfRule>
  </conditionalFormatting>
  <conditionalFormatting sqref="E5215 E5219">
    <cfRule type="containsText" dxfId="218" priority="526" operator="containsText" text="Pesquisa de Preços">
      <formula>NOT(ISERROR(SEARCH("Pesquisa de Preços",E5215)))</formula>
    </cfRule>
  </conditionalFormatting>
  <conditionalFormatting sqref="E5208">
    <cfRule type="containsText" dxfId="217" priority="540" operator="containsText" text="Pesquisa de Preços">
      <formula>NOT(ISERROR(SEARCH("Pesquisa de Preços",E5208)))</formula>
    </cfRule>
  </conditionalFormatting>
  <conditionalFormatting sqref="E5209 E5213">
    <cfRule type="containsText" dxfId="216" priority="541" operator="containsText" text="Pesquisa de Preços">
      <formula>NOT(ISERROR(SEARCH("Pesquisa de Preços",E5209)))</formula>
    </cfRule>
  </conditionalFormatting>
  <conditionalFormatting sqref="E5216">
    <cfRule type="containsText" dxfId="215" priority="524" operator="containsText" text="Pesquisa de Preços">
      <formula>NOT(ISERROR(SEARCH("Pesquisa de Preços",E5216)))</formula>
    </cfRule>
  </conditionalFormatting>
  <conditionalFormatting sqref="D5214">
    <cfRule type="containsText" dxfId="214" priority="530" operator="containsText" text="Pesquisa de Preços">
      <formula>NOT(ISERROR(SEARCH("Pesquisa de Preços",D5214)))</formula>
    </cfRule>
  </conditionalFormatting>
  <conditionalFormatting sqref="D5215 D5219">
    <cfRule type="containsText" dxfId="213" priority="529" operator="containsText" text="Pesquisa de Preços">
      <formula>NOT(ISERROR(SEARCH("Pesquisa de Preços",D5215)))</formula>
    </cfRule>
  </conditionalFormatting>
  <conditionalFormatting sqref="D5217">
    <cfRule type="containsText" dxfId="212" priority="527" operator="containsText" text="Pesquisa de Preços">
      <formula>NOT(ISERROR(SEARCH("Pesquisa de Preços",D5217)))</formula>
    </cfRule>
  </conditionalFormatting>
  <conditionalFormatting sqref="D5216">
    <cfRule type="containsText" dxfId="211" priority="528" operator="containsText" text="Pesquisa de Preços">
      <formula>NOT(ISERROR(SEARCH("Pesquisa de Preços",D5216)))</formula>
    </cfRule>
  </conditionalFormatting>
  <conditionalFormatting sqref="E5214">
    <cfRule type="containsText" dxfId="210" priority="525" operator="containsText" text="Pesquisa de Preços">
      <formula>NOT(ISERROR(SEARCH("Pesquisa de Preços",E5214)))</formula>
    </cfRule>
  </conditionalFormatting>
  <conditionalFormatting sqref="D5220">
    <cfRule type="containsText" dxfId="209" priority="518" operator="containsText" text="Pesquisa de Preços">
      <formula>NOT(ISERROR(SEARCH("Pesquisa de Preços",D5220)))</formula>
    </cfRule>
  </conditionalFormatting>
  <conditionalFormatting sqref="D5226:D5227 D5221:D5222">
    <cfRule type="containsText" dxfId="208" priority="517" operator="containsText" text="Pesquisa de Preços">
      <formula>NOT(ISERROR(SEARCH("Pesquisa de Preços",D5221)))</formula>
    </cfRule>
  </conditionalFormatting>
  <conditionalFormatting sqref="E5220">
    <cfRule type="containsText" dxfId="207" priority="515" operator="containsText" text="Pesquisa de Preços">
      <formula>NOT(ISERROR(SEARCH("Pesquisa de Preços",E5220)))</formula>
    </cfRule>
  </conditionalFormatting>
  <conditionalFormatting sqref="E5221 E5227">
    <cfRule type="containsText" dxfId="206" priority="516" operator="containsText" text="Pesquisa de Preços">
      <formula>NOT(ISERROR(SEARCH("Pesquisa de Preços",E5221)))</formula>
    </cfRule>
  </conditionalFormatting>
  <conditionalFormatting sqref="E5222">
    <cfRule type="containsText" dxfId="205" priority="514" operator="containsText" text="Pesquisa de Preços">
      <formula>NOT(ISERROR(SEARCH("Pesquisa de Preços",E5222)))</formula>
    </cfRule>
  </conditionalFormatting>
  <conditionalFormatting sqref="D5228">
    <cfRule type="containsText" dxfId="204" priority="508" operator="containsText" text="Pesquisa de Preços">
      <formula>NOT(ISERROR(SEARCH("Pesquisa de Preços",D5228)))</formula>
    </cfRule>
  </conditionalFormatting>
  <conditionalFormatting sqref="D5234:D5235 D5229:D5230">
    <cfRule type="containsText" dxfId="203" priority="507" operator="containsText" text="Pesquisa de Preços">
      <formula>NOT(ISERROR(SEARCH("Pesquisa de Preços",D5229)))</formula>
    </cfRule>
  </conditionalFormatting>
  <conditionalFormatting sqref="E5228">
    <cfRule type="containsText" dxfId="202" priority="505" operator="containsText" text="Pesquisa de Preços">
      <formula>NOT(ISERROR(SEARCH("Pesquisa de Preços",E5228)))</formula>
    </cfRule>
  </conditionalFormatting>
  <conditionalFormatting sqref="E5229 E5235">
    <cfRule type="containsText" dxfId="201" priority="506" operator="containsText" text="Pesquisa de Preços">
      <formula>NOT(ISERROR(SEARCH("Pesquisa de Preços",E5229)))</formula>
    </cfRule>
  </conditionalFormatting>
  <conditionalFormatting sqref="E5230">
    <cfRule type="containsText" dxfId="200" priority="504" operator="containsText" text="Pesquisa de Preços">
      <formula>NOT(ISERROR(SEARCH("Pesquisa de Preços",E5230)))</formula>
    </cfRule>
  </conditionalFormatting>
  <conditionalFormatting sqref="D5236">
    <cfRule type="containsText" dxfId="199" priority="500" operator="containsText" text="Pesquisa de Preços">
      <formula>NOT(ISERROR(SEARCH("Pesquisa de Preços",D5236)))</formula>
    </cfRule>
  </conditionalFormatting>
  <conditionalFormatting sqref="D5242:D5243 D5237:D5238">
    <cfRule type="containsText" dxfId="198" priority="499" operator="containsText" text="Pesquisa de Preços">
      <formula>NOT(ISERROR(SEARCH("Pesquisa de Preços",D5237)))</formula>
    </cfRule>
  </conditionalFormatting>
  <conditionalFormatting sqref="E5236">
    <cfRule type="containsText" dxfId="197" priority="497" operator="containsText" text="Pesquisa de Preços">
      <formula>NOT(ISERROR(SEARCH("Pesquisa de Preços",E5236)))</formula>
    </cfRule>
  </conditionalFormatting>
  <conditionalFormatting sqref="E5237 E5243">
    <cfRule type="containsText" dxfId="196" priority="498" operator="containsText" text="Pesquisa de Preços">
      <formula>NOT(ISERROR(SEARCH("Pesquisa de Preços",E5237)))</formula>
    </cfRule>
  </conditionalFormatting>
  <conditionalFormatting sqref="E5238">
    <cfRule type="containsText" dxfId="195" priority="496" operator="containsText" text="Pesquisa de Preços">
      <formula>NOT(ISERROR(SEARCH("Pesquisa de Preços",E5238)))</formula>
    </cfRule>
  </conditionalFormatting>
  <conditionalFormatting sqref="D5244">
    <cfRule type="containsText" dxfId="194" priority="492" operator="containsText" text="Pesquisa de Preços">
      <formula>NOT(ISERROR(SEARCH("Pesquisa de Preços",D5244)))</formula>
    </cfRule>
  </conditionalFormatting>
  <conditionalFormatting sqref="D5245:D5246">
    <cfRule type="containsText" dxfId="193" priority="491" operator="containsText" text="Pesquisa de Preços">
      <formula>NOT(ISERROR(SEARCH("Pesquisa de Preços",D5245)))</formula>
    </cfRule>
  </conditionalFormatting>
  <conditionalFormatting sqref="E5244">
    <cfRule type="containsText" dxfId="192" priority="489" operator="containsText" text="Pesquisa de Preços">
      <formula>NOT(ISERROR(SEARCH("Pesquisa de Preços",E5244)))</formula>
    </cfRule>
  </conditionalFormatting>
  <conditionalFormatting sqref="E5245 E5250">
    <cfRule type="containsText" dxfId="191" priority="490" operator="containsText" text="Pesquisa de Preços">
      <formula>NOT(ISERROR(SEARCH("Pesquisa de Preços",E5245)))</formula>
    </cfRule>
  </conditionalFormatting>
  <conditionalFormatting sqref="E5246">
    <cfRule type="containsText" dxfId="190" priority="488" operator="containsText" text="Pesquisa de Preços">
      <formula>NOT(ISERROR(SEARCH("Pesquisa de Preços",E5246)))</formula>
    </cfRule>
  </conditionalFormatting>
  <conditionalFormatting sqref="D5255 D5260">
    <cfRule type="containsText" dxfId="189" priority="487" operator="containsText" text="Pesquisa de Preços">
      <formula>NOT(ISERROR(SEARCH("Pesquisa de Preços",D5255)))</formula>
    </cfRule>
  </conditionalFormatting>
  <conditionalFormatting sqref="D5251">
    <cfRule type="containsText" dxfId="188" priority="484" operator="containsText" text="Pesquisa de Preços">
      <formula>NOT(ISERROR(SEARCH("Pesquisa de Preços",D5251)))</formula>
    </cfRule>
  </conditionalFormatting>
  <conditionalFormatting sqref="D5254">
    <cfRule type="containsText" dxfId="187" priority="481" operator="containsText" text="Pesquisa de Preços">
      <formula>NOT(ISERROR(SEARCH("Pesquisa de Preços",D5254)))</formula>
    </cfRule>
  </conditionalFormatting>
  <conditionalFormatting sqref="D5252">
    <cfRule type="containsText" dxfId="186" priority="483" operator="containsText" text="Pesquisa de Preços">
      <formula>NOT(ISERROR(SEARCH("Pesquisa de Preços",D5252)))</formula>
    </cfRule>
  </conditionalFormatting>
  <conditionalFormatting sqref="D5253">
    <cfRule type="containsText" dxfId="185" priority="482" operator="containsText" text="Pesquisa de Preços">
      <formula>NOT(ISERROR(SEARCH("Pesquisa de Preços",D5253)))</formula>
    </cfRule>
  </conditionalFormatting>
  <conditionalFormatting sqref="E5260">
    <cfRule type="containsText" dxfId="184" priority="480" operator="containsText" text="Pesquisa de Preços">
      <formula>NOT(ISERROR(SEARCH("Pesquisa de Preços",E5260)))</formula>
    </cfRule>
  </conditionalFormatting>
  <conditionalFormatting sqref="D5258">
    <cfRule type="containsText" dxfId="183" priority="479" operator="containsText" text="Pesquisa de Preços">
      <formula>NOT(ISERROR(SEARCH("Pesquisa de Preços",D5258)))</formula>
    </cfRule>
  </conditionalFormatting>
  <conditionalFormatting sqref="D5257">
    <cfRule type="containsText" dxfId="182" priority="475" operator="containsText" text="Pesquisa de Preços">
      <formula>NOT(ISERROR(SEARCH("Pesquisa de Preços",D5257)))</formula>
    </cfRule>
  </conditionalFormatting>
  <conditionalFormatting sqref="D5256">
    <cfRule type="containsText" dxfId="181" priority="476" operator="containsText" text="Pesquisa de Preços">
      <formula>NOT(ISERROR(SEARCH("Pesquisa de Preços",D5256)))</formula>
    </cfRule>
  </conditionalFormatting>
  <conditionalFormatting sqref="D5259">
    <cfRule type="containsText" dxfId="180" priority="471" operator="containsText" text="Pesquisa de Preços">
      <formula>NOT(ISERROR(SEARCH("Pesquisa de Preços",D5259)))</formula>
    </cfRule>
  </conditionalFormatting>
  <conditionalFormatting sqref="D5263">
    <cfRule type="containsText" dxfId="179" priority="439" operator="containsText" text="Pesquisa de Preços">
      <formula>NOT(ISERROR(SEARCH("Pesquisa de Preços",D5263)))</formula>
    </cfRule>
  </conditionalFormatting>
  <conditionalFormatting sqref="D5264">
    <cfRule type="containsText" dxfId="178" priority="438" operator="containsText" text="Pesquisa de Preços">
      <formula>NOT(ISERROR(SEARCH("Pesquisa de Preços",D5264)))</formula>
    </cfRule>
  </conditionalFormatting>
  <conditionalFormatting sqref="D5267">
    <cfRule type="containsText" dxfId="177" priority="432" operator="containsText" text="Pesquisa de Preços">
      <formula>NOT(ISERROR(SEARCH("Pesquisa de Preços",D5267)))</formula>
    </cfRule>
  </conditionalFormatting>
  <conditionalFormatting sqref="D5266">
    <cfRule type="containsText" dxfId="176" priority="433" operator="containsText" text="Pesquisa de Preços">
      <formula>NOT(ISERROR(SEARCH("Pesquisa de Preços",D5266)))</formula>
    </cfRule>
  </conditionalFormatting>
  <conditionalFormatting sqref="D5271">
    <cfRule type="containsText" dxfId="175" priority="431" operator="containsText" text="Pesquisa de Preços">
      <formula>NOT(ISERROR(SEARCH("Pesquisa de Preços",D5271)))</formula>
    </cfRule>
  </conditionalFormatting>
  <conditionalFormatting sqref="D5270">
    <cfRule type="containsText" dxfId="174" priority="427" operator="containsText" text="Pesquisa de Preços">
      <formula>NOT(ISERROR(SEARCH("Pesquisa de Preços",D5270)))</formula>
    </cfRule>
  </conditionalFormatting>
  <conditionalFormatting sqref="D5265 D5272">
    <cfRule type="containsText" dxfId="173" priority="444" operator="containsText" text="Pesquisa de Preços">
      <formula>NOT(ISERROR(SEARCH("Pesquisa de Preços",D5265)))</formula>
    </cfRule>
  </conditionalFormatting>
  <conditionalFormatting sqref="D5261">
    <cfRule type="containsText" dxfId="172" priority="441" operator="containsText" text="Pesquisa de Preços">
      <formula>NOT(ISERROR(SEARCH("Pesquisa de Preços",D5261)))</formula>
    </cfRule>
  </conditionalFormatting>
  <conditionalFormatting sqref="D5262">
    <cfRule type="containsText" dxfId="171" priority="440" operator="containsText" text="Pesquisa de Preços">
      <formula>NOT(ISERROR(SEARCH("Pesquisa de Preços",D5262)))</formula>
    </cfRule>
  </conditionalFormatting>
  <conditionalFormatting sqref="E5272">
    <cfRule type="containsText" dxfId="170" priority="437" operator="containsText" text="Pesquisa de Preços">
      <formula>NOT(ISERROR(SEARCH("Pesquisa de Preços",E5272)))</formula>
    </cfRule>
  </conditionalFormatting>
  <conditionalFormatting sqref="D5268">
    <cfRule type="containsText" dxfId="169" priority="436" operator="containsText" text="Pesquisa de Preços">
      <formula>NOT(ISERROR(SEARCH("Pesquisa de Preços",D5268)))</formula>
    </cfRule>
  </conditionalFormatting>
  <conditionalFormatting sqref="D5269">
    <cfRule type="containsText" dxfId="168" priority="428" operator="containsText" text="Pesquisa de Preços">
      <formula>NOT(ISERROR(SEARCH("Pesquisa de Preços",D5269)))</formula>
    </cfRule>
  </conditionalFormatting>
  <conditionalFormatting sqref="D5278">
    <cfRule type="containsText" dxfId="167" priority="416" operator="containsText" text="Pesquisa de Preços">
      <formula>NOT(ISERROR(SEARCH("Pesquisa de Preços",D5278)))</formula>
    </cfRule>
  </conditionalFormatting>
  <conditionalFormatting sqref="D5273">
    <cfRule type="containsText" dxfId="166" priority="413" operator="containsText" text="Pesquisa de Preços">
      <formula>NOT(ISERROR(SEARCH("Pesquisa de Preços",D5273)))</formula>
    </cfRule>
  </conditionalFormatting>
  <conditionalFormatting sqref="D5274:D5275">
    <cfRule type="containsText" dxfId="165" priority="412" operator="containsText" text="Pesquisa de Preços">
      <formula>NOT(ISERROR(SEARCH("Pesquisa de Preços",D5274)))</formula>
    </cfRule>
  </conditionalFormatting>
  <conditionalFormatting sqref="E5273">
    <cfRule type="containsText" dxfId="164" priority="410" operator="containsText" text="Pesquisa de Preços">
      <formula>NOT(ISERROR(SEARCH("Pesquisa de Preços",E5273)))</formula>
    </cfRule>
  </conditionalFormatting>
  <conditionalFormatting sqref="E5274 E5278">
    <cfRule type="containsText" dxfId="163" priority="411" operator="containsText" text="Pesquisa de Preços">
      <formula>NOT(ISERROR(SEARCH("Pesquisa de Preços",E5274)))</formula>
    </cfRule>
  </conditionalFormatting>
  <conditionalFormatting sqref="E5275">
    <cfRule type="containsText" dxfId="162" priority="409" operator="containsText" text="Pesquisa de Preços">
      <formula>NOT(ISERROR(SEARCH("Pesquisa de Preços",E5275)))</formula>
    </cfRule>
  </conditionalFormatting>
  <conditionalFormatting sqref="D5284">
    <cfRule type="containsText" dxfId="161" priority="405" operator="containsText" text="Pesquisa de Preços">
      <formula>NOT(ISERROR(SEARCH("Pesquisa de Preços",D5284)))</formula>
    </cfRule>
  </conditionalFormatting>
  <conditionalFormatting sqref="D5279">
    <cfRule type="containsText" dxfId="160" priority="404" operator="containsText" text="Pesquisa de Preços">
      <formula>NOT(ISERROR(SEARCH("Pesquisa de Preços",D5279)))</formula>
    </cfRule>
  </conditionalFormatting>
  <conditionalFormatting sqref="D5280:D5281">
    <cfRule type="containsText" dxfId="159" priority="403" operator="containsText" text="Pesquisa de Preços">
      <formula>NOT(ISERROR(SEARCH("Pesquisa de Preços",D5280)))</formula>
    </cfRule>
  </conditionalFormatting>
  <conditionalFormatting sqref="E5279">
    <cfRule type="containsText" dxfId="158" priority="401" operator="containsText" text="Pesquisa de Preços">
      <formula>NOT(ISERROR(SEARCH("Pesquisa de Preços",E5279)))</formula>
    </cfRule>
  </conditionalFormatting>
  <conditionalFormatting sqref="E5280 E5284">
    <cfRule type="containsText" dxfId="157" priority="402" operator="containsText" text="Pesquisa de Preços">
      <formula>NOT(ISERROR(SEARCH("Pesquisa de Preços",E5280)))</formula>
    </cfRule>
  </conditionalFormatting>
  <conditionalFormatting sqref="E5281">
    <cfRule type="containsText" dxfId="156" priority="400" operator="containsText" text="Pesquisa de Preços">
      <formula>NOT(ISERROR(SEARCH("Pesquisa de Preços",E5281)))</formula>
    </cfRule>
  </conditionalFormatting>
  <conditionalFormatting sqref="D5285">
    <cfRule type="containsText" dxfId="155" priority="398" operator="containsText" text="Pesquisa de Preços">
      <formula>NOT(ISERROR(SEARCH("Pesquisa de Preços",D5285)))</formula>
    </cfRule>
  </conditionalFormatting>
  <conditionalFormatting sqref="D5286 D5290:D5291">
    <cfRule type="containsText" dxfId="154" priority="397" operator="containsText" text="Pesquisa de Preços">
      <formula>NOT(ISERROR(SEARCH("Pesquisa de Preços",D5286)))</formula>
    </cfRule>
  </conditionalFormatting>
  <conditionalFormatting sqref="D5287">
    <cfRule type="containsText" dxfId="153" priority="396" operator="containsText" text="Pesquisa de Preços">
      <formula>NOT(ISERROR(SEARCH("Pesquisa de Preços",D5287)))</formula>
    </cfRule>
  </conditionalFormatting>
  <conditionalFormatting sqref="D5288">
    <cfRule type="containsText" dxfId="152" priority="395" operator="containsText" text="Pesquisa de Preços">
      <formula>NOT(ISERROR(SEARCH("Pesquisa de Preços",D5288)))</formula>
    </cfRule>
  </conditionalFormatting>
  <conditionalFormatting sqref="D5289">
    <cfRule type="containsText" dxfId="151" priority="394" operator="containsText" text="Pesquisa de Preços">
      <formula>NOT(ISERROR(SEARCH("Pesquisa de Preços",D5289)))</formula>
    </cfRule>
  </conditionalFormatting>
  <conditionalFormatting sqref="E5286 E5290:E5291">
    <cfRule type="containsText" dxfId="150" priority="393" operator="containsText" text="Pesquisa de Preços">
      <formula>NOT(ISERROR(SEARCH("Pesquisa de Preços",E5286)))</formula>
    </cfRule>
  </conditionalFormatting>
  <conditionalFormatting sqref="E5285">
    <cfRule type="containsText" dxfId="149" priority="392" operator="containsText" text="Pesquisa de Preços">
      <formula>NOT(ISERROR(SEARCH("Pesquisa de Preços",E5285)))</formula>
    </cfRule>
  </conditionalFormatting>
  <conditionalFormatting sqref="E5289">
    <cfRule type="containsText" dxfId="148" priority="390" operator="containsText" text="Pesquisa de Preços">
      <formula>NOT(ISERROR(SEARCH("Pesquisa de Preços",E5289)))</formula>
    </cfRule>
  </conditionalFormatting>
  <conditionalFormatting sqref="E5287">
    <cfRule type="containsText" dxfId="147" priority="391" operator="containsText" text="Pesquisa de Preços">
      <formula>NOT(ISERROR(SEARCH("Pesquisa de Preços",E5287)))</formula>
    </cfRule>
  </conditionalFormatting>
  <conditionalFormatting sqref="D5297">
    <cfRule type="containsText" dxfId="146" priority="384" operator="containsText" text="Pesquisa de Preços">
      <formula>NOT(ISERROR(SEARCH("Pesquisa de Preços",D5297)))</formula>
    </cfRule>
  </conditionalFormatting>
  <conditionalFormatting sqref="D5292">
    <cfRule type="containsText" dxfId="145" priority="383" operator="containsText" text="Pesquisa de Preços">
      <formula>NOT(ISERROR(SEARCH("Pesquisa de Preços",D5292)))</formula>
    </cfRule>
  </conditionalFormatting>
  <conditionalFormatting sqref="D5293:D5294">
    <cfRule type="containsText" dxfId="144" priority="382" operator="containsText" text="Pesquisa de Preços">
      <formula>NOT(ISERROR(SEARCH("Pesquisa de Preços",D5293)))</formula>
    </cfRule>
  </conditionalFormatting>
  <conditionalFormatting sqref="E5292">
    <cfRule type="containsText" dxfId="143" priority="380" operator="containsText" text="Pesquisa de Preços">
      <formula>NOT(ISERROR(SEARCH("Pesquisa de Preços",E5292)))</formula>
    </cfRule>
  </conditionalFormatting>
  <conditionalFormatting sqref="E5293 E5297">
    <cfRule type="containsText" dxfId="142" priority="381" operator="containsText" text="Pesquisa de Preços">
      <formula>NOT(ISERROR(SEARCH("Pesquisa de Preços",E5293)))</formula>
    </cfRule>
  </conditionalFormatting>
  <conditionalFormatting sqref="E5294">
    <cfRule type="containsText" dxfId="141" priority="379" operator="containsText" text="Pesquisa de Preços">
      <formula>NOT(ISERROR(SEARCH("Pesquisa de Preços",E5294)))</formula>
    </cfRule>
  </conditionalFormatting>
  <conditionalFormatting sqref="D5303">
    <cfRule type="containsText" dxfId="140" priority="375" operator="containsText" text="Pesquisa de Preços">
      <formula>NOT(ISERROR(SEARCH("Pesquisa de Preços",D5303)))</formula>
    </cfRule>
  </conditionalFormatting>
  <conditionalFormatting sqref="D5298">
    <cfRule type="containsText" dxfId="139" priority="374" operator="containsText" text="Pesquisa de Preços">
      <formula>NOT(ISERROR(SEARCH("Pesquisa de Preços",D5298)))</formula>
    </cfRule>
  </conditionalFormatting>
  <conditionalFormatting sqref="D5299">
    <cfRule type="containsText" dxfId="138" priority="373" operator="containsText" text="Pesquisa de Preços">
      <formula>NOT(ISERROR(SEARCH("Pesquisa de Preços",D5299)))</formula>
    </cfRule>
  </conditionalFormatting>
  <conditionalFormatting sqref="E5298">
    <cfRule type="containsText" dxfId="137" priority="371" operator="containsText" text="Pesquisa de Preços">
      <formula>NOT(ISERROR(SEARCH("Pesquisa de Preços",E5298)))</formula>
    </cfRule>
  </conditionalFormatting>
  <conditionalFormatting sqref="E5299 E5303">
    <cfRule type="containsText" dxfId="136" priority="372" operator="containsText" text="Pesquisa de Preços">
      <formula>NOT(ISERROR(SEARCH("Pesquisa de Preços",E5299)))</formula>
    </cfRule>
  </conditionalFormatting>
  <conditionalFormatting sqref="D5300">
    <cfRule type="containsText" dxfId="135" priority="369" operator="containsText" text="Pesquisa de Preços">
      <formula>NOT(ISERROR(SEARCH("Pesquisa de Preços",D5300)))</formula>
    </cfRule>
  </conditionalFormatting>
  <conditionalFormatting sqref="E5300">
    <cfRule type="containsText" dxfId="134" priority="368" operator="containsText" text="Pesquisa de Preços">
      <formula>NOT(ISERROR(SEARCH("Pesquisa de Preços",E5300)))</formula>
    </cfRule>
  </conditionalFormatting>
  <conditionalFormatting sqref="D5308">
    <cfRule type="containsText" dxfId="133" priority="367" operator="containsText" text="Pesquisa de Preços">
      <formula>NOT(ISERROR(SEARCH("Pesquisa de Preços",D5308)))</formula>
    </cfRule>
  </conditionalFormatting>
  <conditionalFormatting sqref="E5305 E5309">
    <cfRule type="containsText" dxfId="132" priority="361" operator="containsText" text="Pesquisa de Preços">
      <formula>NOT(ISERROR(SEARCH("Pesquisa de Preços",E5305)))</formula>
    </cfRule>
  </conditionalFormatting>
  <conditionalFormatting sqref="E5306">
    <cfRule type="containsText" dxfId="131" priority="359" operator="containsText" text="Pesquisa de Preços">
      <formula>NOT(ISERROR(SEARCH("Pesquisa de Preços",E5306)))</formula>
    </cfRule>
  </conditionalFormatting>
  <conditionalFormatting sqref="D5304">
    <cfRule type="containsText" dxfId="130" priority="365" operator="containsText" text="Pesquisa de Preços">
      <formula>NOT(ISERROR(SEARCH("Pesquisa de Preços",D5304)))</formula>
    </cfRule>
  </conditionalFormatting>
  <conditionalFormatting sqref="D5305 D5309">
    <cfRule type="containsText" dxfId="129" priority="364" operator="containsText" text="Pesquisa de Preços">
      <formula>NOT(ISERROR(SEARCH("Pesquisa de Preços",D5305)))</formula>
    </cfRule>
  </conditionalFormatting>
  <conditionalFormatting sqref="D5307">
    <cfRule type="containsText" dxfId="128" priority="362" operator="containsText" text="Pesquisa de Preços">
      <formula>NOT(ISERROR(SEARCH("Pesquisa de Preços",D5307)))</formula>
    </cfRule>
  </conditionalFormatting>
  <conditionalFormatting sqref="D5306">
    <cfRule type="containsText" dxfId="127" priority="363" operator="containsText" text="Pesquisa de Preços">
      <formula>NOT(ISERROR(SEARCH("Pesquisa de Preços",D5306)))</formula>
    </cfRule>
  </conditionalFormatting>
  <conditionalFormatting sqref="E5304">
    <cfRule type="containsText" dxfId="126" priority="360" operator="containsText" text="Pesquisa de Preços">
      <formula>NOT(ISERROR(SEARCH("Pesquisa de Preços",E5304)))</formula>
    </cfRule>
  </conditionalFormatting>
  <conditionalFormatting sqref="E5307">
    <cfRule type="containsText" dxfId="125" priority="354" operator="containsText" text="Pesquisa de Preços">
      <formula>NOT(ISERROR(SEARCH("Pesquisa de Preços",E5307)))</formula>
    </cfRule>
  </conditionalFormatting>
  <conditionalFormatting sqref="E5311 E5313">
    <cfRule type="containsText" dxfId="124" priority="347" operator="containsText" text="Pesquisa de Preços">
      <formula>NOT(ISERROR(SEARCH("Pesquisa de Preços",E5311)))</formula>
    </cfRule>
  </conditionalFormatting>
  <conditionalFormatting sqref="E5312">
    <cfRule type="containsText" dxfId="123" priority="345" operator="containsText" text="Pesquisa de Preços">
      <formula>NOT(ISERROR(SEARCH("Pesquisa de Preços",E5312)))</formula>
    </cfRule>
  </conditionalFormatting>
  <conditionalFormatting sqref="D5310">
    <cfRule type="containsText" dxfId="122" priority="351" operator="containsText" text="Pesquisa de Preços">
      <formula>NOT(ISERROR(SEARCH("Pesquisa de Preços",D5310)))</formula>
    </cfRule>
  </conditionalFormatting>
  <conditionalFormatting sqref="D5311 D5313">
    <cfRule type="containsText" dxfId="121" priority="350" operator="containsText" text="Pesquisa de Preços">
      <formula>NOT(ISERROR(SEARCH("Pesquisa de Preços",D5311)))</formula>
    </cfRule>
  </conditionalFormatting>
  <conditionalFormatting sqref="D5312">
    <cfRule type="containsText" dxfId="120" priority="349" operator="containsText" text="Pesquisa de Preços">
      <formula>NOT(ISERROR(SEARCH("Pesquisa de Preços",D5312)))</formula>
    </cfRule>
  </conditionalFormatting>
  <conditionalFormatting sqref="E5310">
    <cfRule type="containsText" dxfId="119" priority="346" operator="containsText" text="Pesquisa de Preços">
      <formula>NOT(ISERROR(SEARCH("Pesquisa de Preços",E5310)))</formula>
    </cfRule>
  </conditionalFormatting>
  <conditionalFormatting sqref="E5322 E5324">
    <cfRule type="containsText" dxfId="118" priority="335" operator="containsText" text="Pesquisa de Preços">
      <formula>NOT(ISERROR(SEARCH("Pesquisa de Preços",E5322)))</formula>
    </cfRule>
  </conditionalFormatting>
  <conditionalFormatting sqref="E5323">
    <cfRule type="containsText" dxfId="117" priority="333" operator="containsText" text="Pesquisa de Preços">
      <formula>NOT(ISERROR(SEARCH("Pesquisa de Preços",E5323)))</formula>
    </cfRule>
  </conditionalFormatting>
  <conditionalFormatting sqref="D5321">
    <cfRule type="containsText" dxfId="116" priority="338" operator="containsText" text="Pesquisa de Preços">
      <formula>NOT(ISERROR(SEARCH("Pesquisa de Preços",D5321)))</formula>
    </cfRule>
  </conditionalFormatting>
  <conditionalFormatting sqref="D5322 D5324">
    <cfRule type="containsText" dxfId="115" priority="337" operator="containsText" text="Pesquisa de Preços">
      <formula>NOT(ISERROR(SEARCH("Pesquisa de Preços",D5322)))</formula>
    </cfRule>
  </conditionalFormatting>
  <conditionalFormatting sqref="D5323">
    <cfRule type="containsText" dxfId="114" priority="336" operator="containsText" text="Pesquisa de Preços">
      <formula>NOT(ISERROR(SEARCH("Pesquisa de Preços",D5323)))</formula>
    </cfRule>
  </conditionalFormatting>
  <conditionalFormatting sqref="E5321">
    <cfRule type="containsText" dxfId="113" priority="334" operator="containsText" text="Pesquisa de Preços">
      <formula>NOT(ISERROR(SEARCH("Pesquisa de Preços",E5321)))</formula>
    </cfRule>
  </conditionalFormatting>
  <conditionalFormatting sqref="D5966">
    <cfRule type="containsText" dxfId="112" priority="325" operator="containsText" text="Pesquisa de Preços">
      <formula>NOT(ISERROR(SEARCH("Pesquisa de Preços",D5966)))</formula>
    </cfRule>
  </conditionalFormatting>
  <conditionalFormatting sqref="D5964:D5965">
    <cfRule type="containsText" dxfId="111" priority="323" operator="containsText" text="Pesquisa de Preços">
      <formula>NOT(ISERROR(SEARCH("Pesquisa de Preços",D5964)))</formula>
    </cfRule>
  </conditionalFormatting>
  <conditionalFormatting sqref="D5963">
    <cfRule type="containsText" dxfId="110" priority="324" operator="containsText" text="Pesquisa de Preços">
      <formula>NOT(ISERROR(SEARCH("Pesquisa de Preços",D5963)))</formula>
    </cfRule>
  </conditionalFormatting>
  <conditionalFormatting sqref="D5961">
    <cfRule type="containsText" dxfId="109" priority="322" operator="containsText" text="Pesquisa de Preços">
      <formula>NOT(ISERROR(SEARCH("Pesquisa de Preços",D5961)))</formula>
    </cfRule>
  </conditionalFormatting>
  <conditionalFormatting sqref="D5975">
    <cfRule type="containsText" dxfId="108" priority="316" operator="containsText" text="Pesquisa de Preços">
      <formula>NOT(ISERROR(SEARCH("Pesquisa de Preços",D5975)))</formula>
    </cfRule>
  </conditionalFormatting>
  <conditionalFormatting sqref="D5967">
    <cfRule type="containsText" dxfId="107" priority="313" operator="containsText" text="Pesquisa de Preços">
      <formula>NOT(ISERROR(SEARCH("Pesquisa de Preços",D5967)))</formula>
    </cfRule>
  </conditionalFormatting>
  <conditionalFormatting sqref="D5986">
    <cfRule type="containsText" dxfId="106" priority="299" operator="containsText" text="Pesquisa de Preços">
      <formula>NOT(ISERROR(SEARCH("Pesquisa de Preços",D5986)))</formula>
    </cfRule>
  </conditionalFormatting>
  <conditionalFormatting sqref="D5978">
    <cfRule type="containsText" dxfId="105" priority="298" operator="containsText" text="Pesquisa de Preços">
      <formula>NOT(ISERROR(SEARCH("Pesquisa de Preços",D5978)))</formula>
    </cfRule>
  </conditionalFormatting>
  <conditionalFormatting sqref="D5976">
    <cfRule type="containsText" dxfId="104" priority="297" operator="containsText" text="Pesquisa de Preços">
      <formula>NOT(ISERROR(SEARCH("Pesquisa de Preços",D5976)))</formula>
    </cfRule>
  </conditionalFormatting>
  <conditionalFormatting sqref="D5979:D5983">
    <cfRule type="containsText" dxfId="103" priority="293" operator="containsText" text="Pesquisa de Preços">
      <formula>NOT(ISERROR(SEARCH("Pesquisa de Preços",D5979)))</formula>
    </cfRule>
  </conditionalFormatting>
  <conditionalFormatting sqref="D5985">
    <cfRule type="containsText" dxfId="102" priority="292" operator="containsText" text="Pesquisa de Preços">
      <formula>NOT(ISERROR(SEARCH("Pesquisa de Preços",D5985)))</formula>
    </cfRule>
  </conditionalFormatting>
  <conditionalFormatting sqref="D5984">
    <cfRule type="containsText" dxfId="101" priority="288" operator="containsText" text="Pesquisa de Preços">
      <formula>NOT(ISERROR(SEARCH("Pesquisa de Preços",D5984)))</formula>
    </cfRule>
  </conditionalFormatting>
  <conditionalFormatting sqref="D5992">
    <cfRule type="containsText" dxfId="100" priority="282" operator="containsText" text="Pesquisa de Preços">
      <formula>NOT(ISERROR(SEARCH("Pesquisa de Preços",D5992)))</formula>
    </cfRule>
  </conditionalFormatting>
  <conditionalFormatting sqref="D5990:D5991">
    <cfRule type="containsText" dxfId="99" priority="280" operator="containsText" text="Pesquisa de Preços">
      <formula>NOT(ISERROR(SEARCH("Pesquisa de Preços",D5990)))</formula>
    </cfRule>
  </conditionalFormatting>
  <conditionalFormatting sqref="D5989">
    <cfRule type="containsText" dxfId="98" priority="281" operator="containsText" text="Pesquisa de Preços">
      <formula>NOT(ISERROR(SEARCH("Pesquisa de Preços",D5989)))</formula>
    </cfRule>
  </conditionalFormatting>
  <conditionalFormatting sqref="D5987">
    <cfRule type="containsText" dxfId="97" priority="279" operator="containsText" text="Pesquisa de Preços">
      <formula>NOT(ISERROR(SEARCH("Pesquisa de Preços",D5987)))</formula>
    </cfRule>
  </conditionalFormatting>
  <conditionalFormatting sqref="D6000">
    <cfRule type="containsText" dxfId="96" priority="270" operator="containsText" text="Pesquisa de Preços">
      <formula>NOT(ISERROR(SEARCH("Pesquisa de Preços",D6000)))</formula>
    </cfRule>
  </conditionalFormatting>
  <conditionalFormatting sqref="D5995">
    <cfRule type="containsText" dxfId="95" priority="269" operator="containsText" text="Pesquisa de Preços">
      <formula>NOT(ISERROR(SEARCH("Pesquisa de Preços",D5995)))</formula>
    </cfRule>
  </conditionalFormatting>
  <conditionalFormatting sqref="D5993">
    <cfRule type="containsText" dxfId="94" priority="268" operator="containsText" text="Pesquisa de Preços">
      <formula>NOT(ISERROR(SEARCH("Pesquisa de Preços",D5993)))</formula>
    </cfRule>
  </conditionalFormatting>
  <conditionalFormatting sqref="D5996:D5999">
    <cfRule type="containsText" dxfId="93" priority="264" operator="containsText" text="Pesquisa de Preços">
      <formula>NOT(ISERROR(SEARCH("Pesquisa de Preços",D5996)))</formula>
    </cfRule>
  </conditionalFormatting>
  <conditionalFormatting sqref="D6008">
    <cfRule type="containsText" dxfId="92" priority="254" operator="containsText" text="Pesquisa de Preços">
      <formula>NOT(ISERROR(SEARCH("Pesquisa de Preços",D6008)))</formula>
    </cfRule>
  </conditionalFormatting>
  <conditionalFormatting sqref="D6003">
    <cfRule type="containsText" dxfId="91" priority="253" operator="containsText" text="Pesquisa de Preços">
      <formula>NOT(ISERROR(SEARCH("Pesquisa de Preços",D6003)))</formula>
    </cfRule>
  </conditionalFormatting>
  <conditionalFormatting sqref="D6001">
    <cfRule type="containsText" dxfId="90" priority="252" operator="containsText" text="Pesquisa de Preços">
      <formula>NOT(ISERROR(SEARCH("Pesquisa de Preços",D6001)))</formula>
    </cfRule>
  </conditionalFormatting>
  <conditionalFormatting sqref="D6004:D6007">
    <cfRule type="containsText" dxfId="89" priority="248" operator="containsText" text="Pesquisa de Preços">
      <formula>NOT(ISERROR(SEARCH("Pesquisa de Preços",D6004)))</formula>
    </cfRule>
  </conditionalFormatting>
  <conditionalFormatting sqref="D6017">
    <cfRule type="containsText" dxfId="88" priority="239" operator="containsText" text="Pesquisa de Preços">
      <formula>NOT(ISERROR(SEARCH("Pesquisa de Preços",D6017)))</formula>
    </cfRule>
  </conditionalFormatting>
  <conditionalFormatting sqref="D6011">
    <cfRule type="containsText" dxfId="87" priority="238" operator="containsText" text="Pesquisa de Preços">
      <formula>NOT(ISERROR(SEARCH("Pesquisa de Preços",D6011)))</formula>
    </cfRule>
  </conditionalFormatting>
  <conditionalFormatting sqref="D6009">
    <cfRule type="containsText" dxfId="86" priority="237" operator="containsText" text="Pesquisa de Preços">
      <formula>NOT(ISERROR(SEARCH("Pesquisa de Preços",D6009)))</formula>
    </cfRule>
  </conditionalFormatting>
  <conditionalFormatting sqref="D6012:D6016">
    <cfRule type="containsText" dxfId="85" priority="233" operator="containsText" text="Pesquisa de Preços">
      <formula>NOT(ISERROR(SEARCH("Pesquisa de Preços",D6012)))</formula>
    </cfRule>
  </conditionalFormatting>
  <conditionalFormatting sqref="D6028">
    <cfRule type="containsText" dxfId="84" priority="223" operator="containsText" text="Pesquisa de Preços">
      <formula>NOT(ISERROR(SEARCH("Pesquisa de Preços",D6028)))</formula>
    </cfRule>
  </conditionalFormatting>
  <conditionalFormatting sqref="D6018">
    <cfRule type="containsText" dxfId="83" priority="221" operator="containsText" text="Pesquisa de Preços">
      <formula>NOT(ISERROR(SEARCH("Pesquisa de Preços",D6018)))</formula>
    </cfRule>
  </conditionalFormatting>
  <conditionalFormatting sqref="D6031">
    <cfRule type="containsText" dxfId="82" priority="198" operator="containsText" text="Pesquisa de Preços">
      <formula>NOT(ISERROR(SEARCH("Pesquisa de Preços",D6031)))</formula>
    </cfRule>
  </conditionalFormatting>
  <conditionalFormatting sqref="D6052">
    <cfRule type="containsText" dxfId="81" priority="199" operator="containsText" text="Pesquisa de Preços">
      <formula>NOT(ISERROR(SEARCH("Pesquisa de Preços",D6052)))</formula>
    </cfRule>
  </conditionalFormatting>
  <conditionalFormatting sqref="D6029">
    <cfRule type="containsText" dxfId="80" priority="197" operator="containsText" text="Pesquisa de Preços">
      <formula>NOT(ISERROR(SEARCH("Pesquisa de Preços",D6029)))</formula>
    </cfRule>
  </conditionalFormatting>
  <conditionalFormatting sqref="D6032">
    <cfRule type="containsText" dxfId="79" priority="193" operator="containsText" text="Pesquisa de Preços">
      <formula>NOT(ISERROR(SEARCH("Pesquisa de Preços",D6032)))</formula>
    </cfRule>
  </conditionalFormatting>
  <conditionalFormatting sqref="D6068 D6066">
    <cfRule type="containsText" dxfId="78" priority="140" operator="containsText" text="Pesquisa de Preços">
      <formula>NOT(ISERROR(SEARCH("Pesquisa de Preços",D6066)))</formula>
    </cfRule>
  </conditionalFormatting>
  <conditionalFormatting sqref="D6033:D6045">
    <cfRule type="containsText" dxfId="77" priority="180" operator="containsText" text="Pesquisa de Preços">
      <formula>NOT(ISERROR(SEARCH("Pesquisa de Preços",D6033)))</formula>
    </cfRule>
  </conditionalFormatting>
  <conditionalFormatting sqref="D6053">
    <cfRule type="containsText" dxfId="76" priority="165" operator="containsText" text="Pesquisa de Preços">
      <formula>NOT(ISERROR(SEARCH("Pesquisa de Preços",D6053)))</formula>
    </cfRule>
  </conditionalFormatting>
  <conditionalFormatting sqref="D6046:D6051">
    <cfRule type="containsText" dxfId="75" priority="176" operator="containsText" text="Pesquisa de Preços">
      <formula>NOT(ISERROR(SEARCH("Pesquisa de Preços",D6046)))</formula>
    </cfRule>
  </conditionalFormatting>
  <conditionalFormatting sqref="D6057">
    <cfRule type="containsText" dxfId="74" priority="158" operator="containsText" text="Pesquisa de Preços">
      <formula>NOT(ISERROR(SEARCH("Pesquisa de Preços",D6057)))</formula>
    </cfRule>
  </conditionalFormatting>
  <conditionalFormatting sqref="D6065">
    <cfRule type="containsText" dxfId="73" priority="144" operator="containsText" text="Pesquisa de Preços">
      <formula>NOT(ISERROR(SEARCH("Pesquisa de Preços",D6065)))</formula>
    </cfRule>
  </conditionalFormatting>
  <conditionalFormatting sqref="D6069:D6070">
    <cfRule type="containsText" dxfId="72" priority="137" operator="containsText" text="Pesquisa de Preços">
      <formula>NOT(ISERROR(SEARCH("Pesquisa de Preços",D6069)))</formula>
    </cfRule>
  </conditionalFormatting>
  <conditionalFormatting sqref="D6062">
    <cfRule type="containsText" dxfId="71" priority="167" operator="containsText" text="Pesquisa de Preços">
      <formula>NOT(ISERROR(SEARCH("Pesquisa de Preços",D6062)))</formula>
    </cfRule>
  </conditionalFormatting>
  <conditionalFormatting sqref="D6055">
    <cfRule type="containsText" dxfId="70" priority="166" operator="containsText" text="Pesquisa de Preços">
      <formula>NOT(ISERROR(SEARCH("Pesquisa de Preços",D6055)))</formula>
    </cfRule>
  </conditionalFormatting>
  <conditionalFormatting sqref="D6061">
    <cfRule type="containsText" dxfId="69" priority="161" operator="containsText" text="Pesquisa de Preços">
      <formula>NOT(ISERROR(SEARCH("Pesquisa de Preços",D6061)))</formula>
    </cfRule>
  </conditionalFormatting>
  <conditionalFormatting sqref="D6072">
    <cfRule type="containsText" dxfId="68" priority="128" operator="containsText" text="Pesquisa de Preços">
      <formula>NOT(ISERROR(SEARCH("Pesquisa de Preços",D6072)))</formula>
    </cfRule>
  </conditionalFormatting>
  <conditionalFormatting sqref="D6058 D6056">
    <cfRule type="containsText" dxfId="67" priority="159" operator="containsText" text="Pesquisa de Preços">
      <formula>NOT(ISERROR(SEARCH("Pesquisa de Preços",D6056)))</formula>
    </cfRule>
  </conditionalFormatting>
  <conditionalFormatting sqref="D6059:D6060">
    <cfRule type="containsText" dxfId="66" priority="154" operator="containsText" text="Pesquisa de Preços">
      <formula>NOT(ISERROR(SEARCH("Pesquisa de Preços",D6059)))</formula>
    </cfRule>
  </conditionalFormatting>
  <conditionalFormatting sqref="D6063">
    <cfRule type="containsText" dxfId="65" priority="143" operator="containsText" text="Pesquisa de Preços">
      <formula>NOT(ISERROR(SEARCH("Pesquisa de Preços",D6063)))</formula>
    </cfRule>
  </conditionalFormatting>
  <conditionalFormatting sqref="D6067">
    <cfRule type="containsText" dxfId="64" priority="139" operator="containsText" text="Pesquisa de Preços">
      <formula>NOT(ISERROR(SEARCH("Pesquisa de Preços",D6067)))</formula>
    </cfRule>
  </conditionalFormatting>
  <conditionalFormatting sqref="D6071">
    <cfRule type="containsText" dxfId="63" priority="145" operator="containsText" text="Pesquisa de Preços">
      <formula>NOT(ISERROR(SEARCH("Pesquisa de Preços",D6071)))</formula>
    </cfRule>
  </conditionalFormatting>
  <conditionalFormatting sqref="D6076">
    <cfRule type="containsText" dxfId="62" priority="131" operator="containsText" text="Pesquisa de Preços">
      <formula>NOT(ISERROR(SEARCH("Pesquisa de Preços",D6076)))</formula>
    </cfRule>
  </conditionalFormatting>
  <conditionalFormatting sqref="D6075">
    <cfRule type="containsText" dxfId="61" priority="129" operator="containsText" text="Pesquisa de Preços">
      <formula>NOT(ISERROR(SEARCH("Pesquisa de Preços",D6075)))</formula>
    </cfRule>
  </conditionalFormatting>
  <conditionalFormatting sqref="D6074">
    <cfRule type="containsText" dxfId="60" priority="130" operator="containsText" text="Pesquisa de Preços">
      <formula>NOT(ISERROR(SEARCH("Pesquisa de Preços",D6074)))</formula>
    </cfRule>
  </conditionalFormatting>
  <conditionalFormatting sqref="D6090">
    <cfRule type="containsText" dxfId="59" priority="119" operator="containsText" text="Pesquisa de Preços">
      <formula>NOT(ISERROR(SEARCH("Pesquisa de Preços",D6090)))</formula>
    </cfRule>
  </conditionalFormatting>
  <conditionalFormatting sqref="D6079">
    <cfRule type="containsText" dxfId="58" priority="118" operator="containsText" text="Pesquisa de Preços">
      <formula>NOT(ISERROR(SEARCH("Pesquisa de Preços",D6079)))</formula>
    </cfRule>
  </conditionalFormatting>
  <conditionalFormatting sqref="D6077">
    <cfRule type="containsText" dxfId="57" priority="117" operator="containsText" text="Pesquisa de Preços">
      <formula>NOT(ISERROR(SEARCH("Pesquisa de Preços",D6077)))</formula>
    </cfRule>
  </conditionalFormatting>
  <conditionalFormatting sqref="D6080:D6084">
    <cfRule type="containsText" dxfId="56" priority="113" operator="containsText" text="Pesquisa de Preços">
      <formula>NOT(ISERROR(SEARCH("Pesquisa de Preços",D6080)))</formula>
    </cfRule>
  </conditionalFormatting>
  <conditionalFormatting sqref="D6088">
    <cfRule type="containsText" dxfId="55" priority="112" operator="containsText" text="Pesquisa de Preços">
      <formula>NOT(ISERROR(SEARCH("Pesquisa de Preços",D6088)))</formula>
    </cfRule>
  </conditionalFormatting>
  <conditionalFormatting sqref="D6085">
    <cfRule type="containsText" dxfId="54" priority="108" operator="containsText" text="Pesquisa de Preços">
      <formula>NOT(ISERROR(SEARCH("Pesquisa de Preços",D6085)))</formula>
    </cfRule>
  </conditionalFormatting>
  <conditionalFormatting sqref="D6089">
    <cfRule type="containsText" dxfId="53" priority="104" operator="containsText" text="Pesquisa de Preços">
      <formula>NOT(ISERROR(SEARCH("Pesquisa de Preços",D6089)))</formula>
    </cfRule>
  </conditionalFormatting>
  <conditionalFormatting sqref="D6086">
    <cfRule type="containsText" dxfId="52" priority="100" operator="containsText" text="Pesquisa de Preços">
      <formula>NOT(ISERROR(SEARCH("Pesquisa de Preços",D6086)))</formula>
    </cfRule>
  </conditionalFormatting>
  <conditionalFormatting sqref="D6087">
    <cfRule type="containsText" dxfId="51" priority="96" operator="containsText" text="Pesquisa de Preços">
      <formula>NOT(ISERROR(SEARCH("Pesquisa de Preços",D6087)))</formula>
    </cfRule>
  </conditionalFormatting>
  <conditionalFormatting sqref="D6105">
    <cfRule type="containsText" dxfId="50" priority="87" operator="containsText" text="Pesquisa de Preços">
      <formula>NOT(ISERROR(SEARCH("Pesquisa de Preços",D6105)))</formula>
    </cfRule>
  </conditionalFormatting>
  <conditionalFormatting sqref="D6091">
    <cfRule type="containsText" dxfId="49" priority="85" operator="containsText" text="Pesquisa de Preços">
      <formula>NOT(ISERROR(SEARCH("Pesquisa de Preços",D6091)))</formula>
    </cfRule>
  </conditionalFormatting>
  <conditionalFormatting sqref="D6094:D6098">
    <cfRule type="containsText" dxfId="48" priority="81" operator="containsText" text="Pesquisa de Preços">
      <formula>NOT(ISERROR(SEARCH("Pesquisa de Preços",D6094)))</formula>
    </cfRule>
  </conditionalFormatting>
  <conditionalFormatting sqref="D6107:D6108">
    <cfRule type="containsText" dxfId="47" priority="59" operator="containsText" text="Pesquisa de Preços">
      <formula>NOT(ISERROR(SEARCH("Pesquisa de Preços",D6107)))</formula>
    </cfRule>
  </conditionalFormatting>
  <conditionalFormatting sqref="E6108">
    <cfRule type="containsText" dxfId="46" priority="56" operator="containsText" text="Pesquisa de Preços">
      <formula>NOT(ISERROR(SEARCH("Pesquisa de Preços",E6108)))</formula>
    </cfRule>
  </conditionalFormatting>
  <conditionalFormatting sqref="D6100">
    <cfRule type="containsText" dxfId="45" priority="68" operator="containsText" text="Pesquisa de Preços">
      <formula>NOT(ISERROR(SEARCH("Pesquisa de Preços",D6100)))</formula>
    </cfRule>
  </conditionalFormatting>
  <conditionalFormatting sqref="D6114:D6115">
    <cfRule type="containsText" dxfId="44" priority="51" operator="containsText" text="Pesquisa de Preços">
      <formula>NOT(ISERROR(SEARCH("Pesquisa de Preços",D6114)))</formula>
    </cfRule>
  </conditionalFormatting>
  <conditionalFormatting sqref="E6115">
    <cfRule type="containsText" dxfId="43" priority="48" operator="containsText" text="Pesquisa de Preços">
      <formula>NOT(ISERROR(SEARCH("Pesquisa de Preços",E6115)))</formula>
    </cfRule>
  </conditionalFormatting>
  <conditionalFormatting sqref="D6112">
    <cfRule type="containsText" dxfId="42" priority="63" operator="containsText" text="Pesquisa de Preços">
      <formula>NOT(ISERROR(SEARCH("Pesquisa de Preços",D6112)))</formula>
    </cfRule>
  </conditionalFormatting>
  <conditionalFormatting sqref="D6106">
    <cfRule type="containsText" dxfId="41" priority="60" operator="containsText" text="Pesquisa de Preços">
      <formula>NOT(ISERROR(SEARCH("Pesquisa de Preços",D6106)))</formula>
    </cfRule>
  </conditionalFormatting>
  <conditionalFormatting sqref="E6106">
    <cfRule type="containsText" dxfId="40" priority="57" operator="containsText" text="Pesquisa de Preços">
      <formula>NOT(ISERROR(SEARCH("Pesquisa de Preços",E6106)))</formula>
    </cfRule>
  </conditionalFormatting>
  <conditionalFormatting sqref="E6107 E6112">
    <cfRule type="containsText" dxfId="39" priority="58" operator="containsText" text="Pesquisa de Preços">
      <formula>NOT(ISERROR(SEARCH("Pesquisa de Preços",E6107)))</formula>
    </cfRule>
  </conditionalFormatting>
  <conditionalFormatting sqref="D6118">
    <cfRule type="containsText" dxfId="38" priority="55" operator="containsText" text="Pesquisa de Preços">
      <formula>NOT(ISERROR(SEARCH("Pesquisa de Preços",D6118)))</formula>
    </cfRule>
  </conditionalFormatting>
  <conditionalFormatting sqref="D6113">
    <cfRule type="containsText" dxfId="37" priority="52" operator="containsText" text="Pesquisa de Preços">
      <formula>NOT(ISERROR(SEARCH("Pesquisa de Preços",D6113)))</formula>
    </cfRule>
  </conditionalFormatting>
  <conditionalFormatting sqref="E6113">
    <cfRule type="containsText" dxfId="36" priority="49" operator="containsText" text="Pesquisa de Preços">
      <formula>NOT(ISERROR(SEARCH("Pesquisa de Preços",E6113)))</formula>
    </cfRule>
  </conditionalFormatting>
  <conditionalFormatting sqref="E6114 E6118">
    <cfRule type="containsText" dxfId="35" priority="50" operator="containsText" text="Pesquisa de Preços">
      <formula>NOT(ISERROR(SEARCH("Pesquisa de Preços",E6114)))</formula>
    </cfRule>
  </conditionalFormatting>
  <conditionalFormatting sqref="D5319">
    <cfRule type="containsText" dxfId="34" priority="44" operator="containsText" text="Pesquisa de Preços">
      <formula>NOT(ISERROR(SEARCH("Pesquisa de Preços",D5319)))</formula>
    </cfRule>
  </conditionalFormatting>
  <conditionalFormatting sqref="E5315 E5320">
    <cfRule type="containsText" dxfId="33" priority="39" operator="containsText" text="Pesquisa de Preços">
      <formula>NOT(ISERROR(SEARCH("Pesquisa de Preços",E5315)))</formula>
    </cfRule>
  </conditionalFormatting>
  <conditionalFormatting sqref="E5316">
    <cfRule type="containsText" dxfId="32" priority="37" operator="containsText" text="Pesquisa de Preços">
      <formula>NOT(ISERROR(SEARCH("Pesquisa de Preços",E5316)))</formula>
    </cfRule>
  </conditionalFormatting>
  <conditionalFormatting sqref="D5314">
    <cfRule type="containsText" dxfId="31" priority="43" operator="containsText" text="Pesquisa de Preços">
      <formula>NOT(ISERROR(SEARCH("Pesquisa de Preços",D5314)))</formula>
    </cfRule>
  </conditionalFormatting>
  <conditionalFormatting sqref="D5315 D5320">
    <cfRule type="containsText" dxfId="30" priority="42" operator="containsText" text="Pesquisa de Preços">
      <formula>NOT(ISERROR(SEARCH("Pesquisa de Preços",D5315)))</formula>
    </cfRule>
  </conditionalFormatting>
  <conditionalFormatting sqref="D5317:D5318">
    <cfRule type="containsText" dxfId="29" priority="40" operator="containsText" text="Pesquisa de Preços">
      <formula>NOT(ISERROR(SEARCH("Pesquisa de Preços",D5317)))</formula>
    </cfRule>
  </conditionalFormatting>
  <conditionalFormatting sqref="D5316">
    <cfRule type="containsText" dxfId="28" priority="41" operator="containsText" text="Pesquisa de Preços">
      <formula>NOT(ISERROR(SEARCH("Pesquisa de Preços",D5316)))</formula>
    </cfRule>
  </conditionalFormatting>
  <conditionalFormatting sqref="E5314">
    <cfRule type="containsText" dxfId="27" priority="38" operator="containsText" text="Pesquisa de Preços">
      <formula>NOT(ISERROR(SEARCH("Pesquisa de Preços",E5314)))</formula>
    </cfRule>
  </conditionalFormatting>
  <conditionalFormatting sqref="E5317:E5318">
    <cfRule type="containsText" dxfId="26" priority="32" operator="containsText" text="Pesquisa de Preços">
      <formula>NOT(ISERROR(SEARCH("Pesquisa de Preços",E5317)))</formula>
    </cfRule>
  </conditionalFormatting>
  <conditionalFormatting sqref="D6020">
    <cfRule type="containsText" dxfId="25" priority="27" operator="containsText" text="Pesquisa de Preços">
      <formula>NOT(ISERROR(SEARCH("Pesquisa de Preços",D6020)))</formula>
    </cfRule>
  </conditionalFormatting>
  <conditionalFormatting sqref="D6021:D6025">
    <cfRule type="containsText" dxfId="24" priority="26" operator="containsText" text="Pesquisa de Preços">
      <formula>NOT(ISERROR(SEARCH("Pesquisa de Preços",D6021)))</formula>
    </cfRule>
  </conditionalFormatting>
  <conditionalFormatting sqref="D6026">
    <cfRule type="containsText" dxfId="23" priority="25" operator="containsText" text="Pesquisa de Preços">
      <formula>NOT(ISERROR(SEARCH("Pesquisa de Preços",D6026)))</formula>
    </cfRule>
  </conditionalFormatting>
  <conditionalFormatting sqref="D6027">
    <cfRule type="containsText" dxfId="22" priority="24" operator="containsText" text="Pesquisa de Preços">
      <formula>NOT(ISERROR(SEARCH("Pesquisa de Preços",D6027)))</formula>
    </cfRule>
  </conditionalFormatting>
  <conditionalFormatting sqref="D6101">
    <cfRule type="containsText" dxfId="21" priority="10" operator="containsText" text="Pesquisa de Preços">
      <formula>NOT(ISERROR(SEARCH("Pesquisa de Preços",D6101)))</formula>
    </cfRule>
  </conditionalFormatting>
  <conditionalFormatting sqref="E6101:E6104">
    <cfRule type="containsText" dxfId="20" priority="9" operator="containsText" text="Pesquisa de Preços">
      <formula>NOT(ISERROR(SEARCH("Pesquisa de Preços",E6101)))</formula>
    </cfRule>
  </conditionalFormatting>
  <conditionalFormatting sqref="D6093">
    <cfRule type="containsText" dxfId="19" priority="8" operator="containsText" text="Pesquisa de Preços">
      <formula>NOT(ISERROR(SEARCH("Pesquisa de Preços",D6093)))</formula>
    </cfRule>
  </conditionalFormatting>
  <conditionalFormatting sqref="D6099">
    <cfRule type="containsText" dxfId="18" priority="7" operator="containsText" text="Pesquisa de Preços">
      <formula>NOT(ISERROR(SEARCH("Pesquisa de Preços",D6099)))</formula>
    </cfRule>
  </conditionalFormatting>
  <conditionalFormatting sqref="D5969">
    <cfRule type="containsText" dxfId="17" priority="4" operator="containsText" text="Pesquisa de Preços">
      <formula>NOT(ISERROR(SEARCH("Pesquisa de Preços",D5969)))</formula>
    </cfRule>
  </conditionalFormatting>
  <conditionalFormatting sqref="D5970:D5974">
    <cfRule type="containsText" dxfId="16" priority="3" operator="containsText" text="Pesquisa de Preços">
      <formula>NOT(ISERROR(SEARCH("Pesquisa de Preços",D5970)))</formula>
    </cfRule>
  </conditionalFormatting>
  <hyperlinks>
    <hyperlink ref="C462" r:id="rId1" xr:uid="{00000000-0004-0000-0000-000000000000}"/>
    <hyperlink ref="C496" r:id="rId2" xr:uid="{00000000-0004-0000-0000-000001000000}"/>
    <hyperlink ref="C495" r:id="rId3" xr:uid="{00000000-0004-0000-0000-000002000000}"/>
    <hyperlink ref="C480" r:id="rId4" xr:uid="{00000000-0004-0000-0000-000003000000}"/>
    <hyperlink ref="C481" r:id="rId5" xr:uid="{00000000-0004-0000-0000-000004000000}"/>
    <hyperlink ref="C4525" r:id="rId6" xr:uid="{00000000-0004-0000-0000-000005000000}"/>
    <hyperlink ref="C4592" r:id="rId7" xr:uid="{00000000-0004-0000-0000-000006000000}"/>
    <hyperlink ref="C4571" r:id="rId8" xr:uid="{00000000-0004-0000-0000-000007000000}"/>
  </hyperlinks>
  <printOptions horizontalCentered="1"/>
  <pageMargins left="0.19685039370078741" right="0.19685039370078741" top="0.98425196850393704" bottom="0.59055118110236227" header="0.19685039370078741" footer="0.19685039370078741"/>
  <pageSetup paperSize="9" scale="65" fitToHeight="0" orientation="landscape" horizontalDpi="4294967295" verticalDpi="4294967295" r:id="rId9"/>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rowBreaks count="17" manualBreakCount="17">
    <brk id="247" max="10" man="1"/>
    <brk id="289" max="10" man="1"/>
    <brk id="379" max="10" man="1"/>
    <brk id="1539" max="10" man="1"/>
    <brk id="1768" max="10" man="1"/>
    <brk id="3154" max="10" man="1"/>
    <brk id="3558" max="10" man="1"/>
    <brk id="3596" max="10" man="1"/>
    <brk id="3631" max="10" man="1"/>
    <brk id="3703" max="10" man="1"/>
    <brk id="3844" max="10" man="1"/>
    <brk id="5161" max="10" man="1"/>
    <brk id="5243" max="10" man="1"/>
    <brk id="5278" max="10" man="1"/>
    <brk id="5960" max="10" man="1"/>
    <brk id="6028" max="10" man="1"/>
    <brk id="6090" max="10" man="1"/>
  </rowBreaks>
  <drawing r:id="rId10"/>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5" filterMode="1">
    <pageSetUpPr fitToPage="1"/>
  </sheetPr>
  <dimension ref="A1:I605"/>
  <sheetViews>
    <sheetView zoomScale="80" zoomScaleNormal="80" zoomScaleSheetLayoutView="70" workbookViewId="0">
      <pane ySplit="5" topLeftCell="A6" activePane="bottomLeft" state="frozen"/>
      <selection pane="bottomLeft" activeCell="A6" sqref="A6:A15"/>
    </sheetView>
  </sheetViews>
  <sheetFormatPr defaultRowHeight="14.4" x14ac:dyDescent="0.3"/>
  <cols>
    <col min="1" max="1" width="46.88671875" customWidth="1"/>
    <col min="2" max="2" width="65.6640625" style="5" customWidth="1"/>
    <col min="3" max="3" width="15.6640625" customWidth="1"/>
    <col min="4" max="4" width="20.6640625" customWidth="1"/>
    <col min="5" max="5" width="15.6640625" customWidth="1"/>
    <col min="6" max="7" width="17.6640625" customWidth="1"/>
    <col min="8" max="8" width="5.6640625" customWidth="1"/>
    <col min="9" max="9" width="14.44140625" customWidth="1"/>
  </cols>
  <sheetData>
    <row r="1" spans="1:9" ht="24.9" customHeight="1" x14ac:dyDescent="0.3">
      <c r="A1" s="81" t="str">
        <f>Composições!A1</f>
        <v>Nova central de geração de energia elétrica de emergência</v>
      </c>
      <c r="B1" s="105"/>
      <c r="C1" s="81"/>
      <c r="D1" s="81"/>
      <c r="E1" s="81"/>
      <c r="F1" s="81"/>
      <c r="G1" s="81"/>
      <c r="H1" s="82"/>
      <c r="I1" s="83"/>
    </row>
    <row r="2" spans="1:9" ht="24.9" customHeight="1" x14ac:dyDescent="0.3">
      <c r="A2" s="10" t="s">
        <v>1484</v>
      </c>
      <c r="B2" s="11"/>
      <c r="C2" s="11"/>
      <c r="D2" s="11"/>
      <c r="E2" s="11"/>
      <c r="F2" s="11"/>
      <c r="G2" s="11"/>
      <c r="H2" s="13"/>
      <c r="I2" s="83"/>
    </row>
    <row r="3" spans="1:9" ht="20.100000000000001" customHeight="1" x14ac:dyDescent="0.3">
      <c r="A3" s="14" t="str">
        <f>Composições!A3</f>
        <v>Data: Setembro de 2021</v>
      </c>
      <c r="B3" s="14"/>
      <c r="C3" s="14"/>
      <c r="D3" s="14"/>
      <c r="E3" s="14"/>
      <c r="F3" s="14"/>
      <c r="G3" s="14"/>
      <c r="H3" s="14"/>
      <c r="I3" s="84"/>
    </row>
    <row r="4" spans="1:9" ht="15" thickBot="1" x14ac:dyDescent="0.35">
      <c r="A4" s="85"/>
      <c r="B4" s="86"/>
      <c r="C4" s="86"/>
      <c r="D4" s="86"/>
      <c r="E4" s="86"/>
      <c r="F4" s="86"/>
      <c r="G4" s="86"/>
      <c r="H4" s="87"/>
      <c r="I4" s="88"/>
    </row>
    <row r="5" spans="1:9" ht="28.2" thickBot="1" x14ac:dyDescent="0.35">
      <c r="A5" s="20" t="s">
        <v>2</v>
      </c>
      <c r="B5" s="21" t="s">
        <v>3</v>
      </c>
      <c r="C5" s="21" t="s">
        <v>4</v>
      </c>
      <c r="D5" s="21" t="s">
        <v>5</v>
      </c>
      <c r="E5" s="21" t="s">
        <v>6</v>
      </c>
      <c r="F5" s="21" t="s">
        <v>7</v>
      </c>
      <c r="G5" s="21" t="s">
        <v>1485</v>
      </c>
      <c r="H5" s="24"/>
      <c r="I5" s="89" t="s">
        <v>9</v>
      </c>
    </row>
    <row r="6" spans="1:9" ht="26.25" customHeight="1" thickBot="1" x14ac:dyDescent="0.35">
      <c r="A6" s="243" t="s">
        <v>109</v>
      </c>
      <c r="B6" s="167" t="s">
        <v>560</v>
      </c>
      <c r="C6" s="90" t="s">
        <v>122</v>
      </c>
      <c r="D6" s="91"/>
      <c r="E6" s="71" t="s">
        <v>560</v>
      </c>
      <c r="F6" s="71" t="str">
        <f t="shared" ref="F6:F69" si="0">IF(ISNUMBER(E6),E6*$D6,"")</f>
        <v/>
      </c>
      <c r="G6" s="72"/>
      <c r="H6" s="30"/>
      <c r="I6" s="156">
        <v>0.21242</v>
      </c>
    </row>
    <row r="7" spans="1:9" x14ac:dyDescent="0.3">
      <c r="A7" s="243"/>
      <c r="B7" s="32" t="s">
        <v>560</v>
      </c>
      <c r="C7" s="32"/>
      <c r="D7" s="92"/>
      <c r="E7" s="31" t="s">
        <v>560</v>
      </c>
      <c r="F7" s="31" t="str">
        <f t="shared" si="0"/>
        <v/>
      </c>
      <c r="G7" s="35"/>
      <c r="H7" s="31"/>
      <c r="I7" s="156">
        <v>0.21242</v>
      </c>
    </row>
    <row r="8" spans="1:9" x14ac:dyDescent="0.3">
      <c r="A8" s="243"/>
      <c r="B8" s="36" t="s">
        <v>115</v>
      </c>
      <c r="C8" s="36" t="s">
        <v>122</v>
      </c>
      <c r="D8" s="37">
        <v>1.07</v>
      </c>
      <c r="E8" s="31">
        <v>76.5</v>
      </c>
      <c r="F8" s="34">
        <f t="shared" si="0"/>
        <v>81.855000000000004</v>
      </c>
      <c r="G8" s="45">
        <f>SUM(F8:F12)</f>
        <v>480.04350944050003</v>
      </c>
      <c r="H8" s="46"/>
      <c r="I8" s="156">
        <v>0.21242</v>
      </c>
    </row>
    <row r="9" spans="1:9" x14ac:dyDescent="0.3">
      <c r="A9" s="243"/>
      <c r="B9" s="36" t="s">
        <v>116</v>
      </c>
      <c r="C9" s="36" t="s">
        <v>939</v>
      </c>
      <c r="D9" s="37">
        <v>482.96</v>
      </c>
      <c r="E9" s="34">
        <v>0.46750000000000003</v>
      </c>
      <c r="F9" s="34">
        <f t="shared" si="0"/>
        <v>225.78380000000001</v>
      </c>
      <c r="G9" s="45"/>
      <c r="H9" s="46"/>
      <c r="I9" s="156">
        <v>0.21242</v>
      </c>
    </row>
    <row r="10" spans="1:9" x14ac:dyDescent="0.3">
      <c r="A10" s="243"/>
      <c r="B10" s="36" t="s">
        <v>1486</v>
      </c>
      <c r="C10" s="36" t="s">
        <v>744</v>
      </c>
      <c r="D10" s="37">
        <v>8.57</v>
      </c>
      <c r="E10" s="31">
        <v>14.968499999999999</v>
      </c>
      <c r="F10" s="34">
        <f t="shared" si="0"/>
        <v>128.280045</v>
      </c>
      <c r="G10" s="45"/>
      <c r="H10" s="46"/>
      <c r="I10" s="156">
        <v>0.21242</v>
      </c>
    </row>
    <row r="11" spans="1:9" ht="52.8" x14ac:dyDescent="0.3">
      <c r="A11" s="243"/>
      <c r="B11" s="36" t="s">
        <v>1931</v>
      </c>
      <c r="C11" s="36" t="s">
        <v>122</v>
      </c>
      <c r="D11" s="37">
        <f>ROUND(1*D8,4)</f>
        <v>1.07</v>
      </c>
      <c r="E11" s="31">
        <v>5.4507091499999989</v>
      </c>
      <c r="F11" s="34">
        <f t="shared" si="0"/>
        <v>5.8322587904999992</v>
      </c>
      <c r="G11" s="45"/>
      <c r="H11" s="46"/>
      <c r="I11" s="156">
        <v>0.21242</v>
      </c>
    </row>
    <row r="12" spans="1:9" ht="26.4" x14ac:dyDescent="0.3">
      <c r="A12" s="243"/>
      <c r="B12" s="36" t="s">
        <v>1930</v>
      </c>
      <c r="C12" s="47" t="s">
        <v>124</v>
      </c>
      <c r="D12" s="37">
        <f>ROUND(D8*20,4)</f>
        <v>21.4</v>
      </c>
      <c r="E12" s="31">
        <v>1.7893647499999998</v>
      </c>
      <c r="F12" s="34">
        <f t="shared" si="0"/>
        <v>38.292405649999992</v>
      </c>
      <c r="G12" s="45"/>
      <c r="H12" s="46"/>
      <c r="I12" s="156">
        <v>0.21242</v>
      </c>
    </row>
    <row r="13" spans="1:9" x14ac:dyDescent="0.3">
      <c r="A13" s="243"/>
      <c r="B13" s="51"/>
      <c r="C13" s="47"/>
      <c r="D13" s="37"/>
      <c r="E13" s="31" t="s">
        <v>560</v>
      </c>
      <c r="F13" s="34" t="str">
        <f t="shared" si="0"/>
        <v/>
      </c>
      <c r="G13" s="45"/>
      <c r="H13" s="46"/>
      <c r="I13" s="156">
        <v>0.21242</v>
      </c>
    </row>
    <row r="14" spans="1:9" x14ac:dyDescent="0.3">
      <c r="A14" s="243"/>
      <c r="B14" s="48" t="s">
        <v>796</v>
      </c>
      <c r="C14" s="47"/>
      <c r="D14" s="37"/>
      <c r="E14" s="31" t="s">
        <v>560</v>
      </c>
      <c r="F14" s="34" t="str">
        <f t="shared" si="0"/>
        <v/>
      </c>
      <c r="G14" s="45"/>
      <c r="H14" s="46"/>
      <c r="I14" s="156">
        <v>0.21242</v>
      </c>
    </row>
    <row r="15" spans="1:9" ht="15" thickBot="1" x14ac:dyDescent="0.35">
      <c r="A15" s="245"/>
      <c r="B15" s="36" t="s">
        <v>560</v>
      </c>
      <c r="C15" s="36"/>
      <c r="D15" s="93"/>
      <c r="E15" s="31" t="s">
        <v>560</v>
      </c>
      <c r="F15" s="34" t="str">
        <f t="shared" si="0"/>
        <v/>
      </c>
      <c r="G15" s="35"/>
      <c r="H15" s="31"/>
      <c r="I15" s="156">
        <v>0.21242</v>
      </c>
    </row>
    <row r="16" spans="1:9" ht="15.75" hidden="1" customHeight="1" thickBot="1" x14ac:dyDescent="0.35">
      <c r="A16" s="244" t="s">
        <v>440</v>
      </c>
      <c r="B16" s="41" t="s">
        <v>560</v>
      </c>
      <c r="C16" s="26" t="s">
        <v>292</v>
      </c>
      <c r="D16" s="94"/>
      <c r="E16" s="42" t="s">
        <v>560</v>
      </c>
      <c r="F16" s="42" t="str">
        <f t="shared" si="0"/>
        <v/>
      </c>
      <c r="G16" s="29"/>
      <c r="H16" s="30"/>
      <c r="I16" s="156">
        <v>0</v>
      </c>
    </row>
    <row r="17" spans="1:9" ht="15" hidden="1" thickBot="1" x14ac:dyDescent="0.35">
      <c r="A17" s="243"/>
      <c r="B17" s="32" t="s">
        <v>560</v>
      </c>
      <c r="C17" s="32"/>
      <c r="D17" s="92"/>
      <c r="E17" s="43" t="s">
        <v>560</v>
      </c>
      <c r="F17" s="31" t="str">
        <f t="shared" si="0"/>
        <v/>
      </c>
      <c r="G17" s="35"/>
      <c r="H17" s="31"/>
      <c r="I17" s="156">
        <v>0</v>
      </c>
    </row>
    <row r="18" spans="1:9" ht="15" hidden="1" thickBot="1" x14ac:dyDescent="0.35">
      <c r="A18" s="243"/>
      <c r="B18" s="36" t="s">
        <v>108</v>
      </c>
      <c r="C18" s="36" t="s">
        <v>744</v>
      </c>
      <c r="D18" s="37">
        <v>2.2700000000000001E-2</v>
      </c>
      <c r="E18" s="31">
        <v>15.4955</v>
      </c>
      <c r="F18" s="34">
        <f t="shared" si="0"/>
        <v>0.35174785000000003</v>
      </c>
      <c r="G18" s="45">
        <f>SUM(F18:F19)</f>
        <v>3.5772946999999999</v>
      </c>
      <c r="H18" s="46"/>
      <c r="I18" s="156">
        <v>0</v>
      </c>
    </row>
    <row r="19" spans="1:9" ht="15" hidden="1" thickBot="1" x14ac:dyDescent="0.35">
      <c r="A19" s="243"/>
      <c r="B19" s="36" t="s">
        <v>1487</v>
      </c>
      <c r="C19" s="36" t="s">
        <v>744</v>
      </c>
      <c r="D19" s="37">
        <v>0.16209999999999999</v>
      </c>
      <c r="E19" s="31">
        <v>19.898499999999999</v>
      </c>
      <c r="F19" s="34">
        <f t="shared" si="0"/>
        <v>3.2255468499999997</v>
      </c>
      <c r="G19" s="45"/>
      <c r="H19" s="46"/>
      <c r="I19" s="156">
        <v>0</v>
      </c>
    </row>
    <row r="20" spans="1:9" ht="15" hidden="1" thickBot="1" x14ac:dyDescent="0.35">
      <c r="A20" s="245"/>
      <c r="B20" s="36" t="s">
        <v>560</v>
      </c>
      <c r="C20" s="36"/>
      <c r="D20" s="93"/>
      <c r="E20" s="31" t="s">
        <v>560</v>
      </c>
      <c r="F20" s="31" t="str">
        <f t="shared" si="0"/>
        <v/>
      </c>
      <c r="G20" s="35"/>
      <c r="H20" s="31"/>
      <c r="I20" s="156">
        <v>0</v>
      </c>
    </row>
    <row r="21" spans="1:9" ht="15.75" customHeight="1" thickBot="1" x14ac:dyDescent="0.35">
      <c r="A21" s="244" t="s">
        <v>522</v>
      </c>
      <c r="B21" s="41" t="s">
        <v>560</v>
      </c>
      <c r="C21" s="26" t="s">
        <v>515</v>
      </c>
      <c r="D21" s="94"/>
      <c r="E21" s="42" t="s">
        <v>560</v>
      </c>
      <c r="F21" s="42" t="str">
        <f t="shared" si="0"/>
        <v/>
      </c>
      <c r="G21" s="29"/>
      <c r="H21" s="30"/>
      <c r="I21" s="156">
        <v>115</v>
      </c>
    </row>
    <row r="22" spans="1:9" x14ac:dyDescent="0.3">
      <c r="A22" s="243"/>
      <c r="B22" s="32" t="s">
        <v>560</v>
      </c>
      <c r="C22" s="32"/>
      <c r="D22" s="92"/>
      <c r="E22" s="43" t="s">
        <v>560</v>
      </c>
      <c r="F22" s="31" t="str">
        <f t="shared" si="0"/>
        <v/>
      </c>
      <c r="G22" s="35"/>
      <c r="H22" s="31"/>
      <c r="I22" s="156">
        <v>115</v>
      </c>
    </row>
    <row r="23" spans="1:9" ht="26.4" x14ac:dyDescent="0.3">
      <c r="A23" s="243"/>
      <c r="B23" s="36" t="s">
        <v>1488</v>
      </c>
      <c r="C23" s="36" t="s">
        <v>292</v>
      </c>
      <c r="D23" s="37">
        <v>0.65</v>
      </c>
      <c r="E23" s="34">
        <v>1.1729999999999998</v>
      </c>
      <c r="F23" s="34">
        <f t="shared" si="0"/>
        <v>0.76244999999999996</v>
      </c>
      <c r="G23" s="45">
        <f>SUM(F23:F25)</f>
        <v>2.2904014999999998</v>
      </c>
      <c r="H23" s="46"/>
      <c r="I23" s="156">
        <v>115</v>
      </c>
    </row>
    <row r="24" spans="1:9" x14ac:dyDescent="0.3">
      <c r="A24" s="243"/>
      <c r="B24" s="36" t="s">
        <v>108</v>
      </c>
      <c r="C24" s="36" t="s">
        <v>744</v>
      </c>
      <c r="D24" s="37">
        <v>0.01</v>
      </c>
      <c r="E24" s="31">
        <v>15.4955</v>
      </c>
      <c r="F24" s="34">
        <f t="shared" si="0"/>
        <v>0.15495500000000001</v>
      </c>
      <c r="G24" s="45"/>
      <c r="H24" s="46"/>
      <c r="I24" s="156">
        <v>115</v>
      </c>
    </row>
    <row r="25" spans="1:9" x14ac:dyDescent="0.3">
      <c r="A25" s="243"/>
      <c r="B25" s="36" t="s">
        <v>1487</v>
      </c>
      <c r="C25" s="36" t="s">
        <v>744</v>
      </c>
      <c r="D25" s="37">
        <v>6.9000000000000006E-2</v>
      </c>
      <c r="E25" s="31">
        <v>19.898499999999999</v>
      </c>
      <c r="F25" s="34">
        <f t="shared" si="0"/>
        <v>1.3729965</v>
      </c>
      <c r="G25" s="45"/>
      <c r="H25" s="46"/>
      <c r="I25" s="156">
        <v>115</v>
      </c>
    </row>
    <row r="26" spans="1:9" ht="15" thickBot="1" x14ac:dyDescent="0.35">
      <c r="A26" s="245"/>
      <c r="B26" s="36" t="s">
        <v>560</v>
      </c>
      <c r="C26" s="36"/>
      <c r="D26" s="93"/>
      <c r="E26" s="31" t="s">
        <v>560</v>
      </c>
      <c r="F26" s="31" t="str">
        <f t="shared" si="0"/>
        <v/>
      </c>
      <c r="G26" s="35"/>
      <c r="H26" s="31"/>
      <c r="I26" s="156">
        <v>115</v>
      </c>
    </row>
    <row r="27" spans="1:9" ht="15.75" customHeight="1" thickBot="1" x14ac:dyDescent="0.35">
      <c r="A27" s="244" t="s">
        <v>2017</v>
      </c>
      <c r="B27" s="41" t="s">
        <v>560</v>
      </c>
      <c r="C27" s="26" t="s">
        <v>1035</v>
      </c>
      <c r="D27" s="94"/>
      <c r="E27" s="42" t="s">
        <v>560</v>
      </c>
      <c r="F27" s="42" t="str">
        <f t="shared" si="0"/>
        <v/>
      </c>
      <c r="G27" s="29"/>
      <c r="H27" s="30"/>
      <c r="I27" s="156">
        <v>808.95186000000001</v>
      </c>
    </row>
    <row r="28" spans="1:9" x14ac:dyDescent="0.3">
      <c r="A28" s="243"/>
      <c r="B28" s="32" t="s">
        <v>560</v>
      </c>
      <c r="C28" s="32"/>
      <c r="D28" s="92"/>
      <c r="E28" s="43" t="s">
        <v>560</v>
      </c>
      <c r="F28" s="31" t="str">
        <f t="shared" si="0"/>
        <v/>
      </c>
      <c r="G28" s="35"/>
      <c r="H28" s="31"/>
      <c r="I28" s="156">
        <v>808.95186000000001</v>
      </c>
    </row>
    <row r="29" spans="1:9" ht="26.4" x14ac:dyDescent="0.3">
      <c r="A29" s="243"/>
      <c r="B29" s="36" t="s">
        <v>1489</v>
      </c>
      <c r="C29" s="36" t="s">
        <v>1035</v>
      </c>
      <c r="D29" s="37">
        <v>1.1459999999999999</v>
      </c>
      <c r="E29" s="34">
        <v>40.536499999999997</v>
      </c>
      <c r="F29" s="34">
        <f t="shared" si="0"/>
        <v>46.454828999999989</v>
      </c>
      <c r="G29" s="45">
        <f>SUM(F29:F36)</f>
        <v>92.328274999999977</v>
      </c>
      <c r="H29" s="46"/>
      <c r="I29" s="156">
        <v>808.95186000000001</v>
      </c>
    </row>
    <row r="30" spans="1:9" ht="26.4" x14ac:dyDescent="0.3">
      <c r="A30" s="243"/>
      <c r="B30" s="36" t="s">
        <v>2034</v>
      </c>
      <c r="C30" s="36" t="s">
        <v>515</v>
      </c>
      <c r="D30" s="37">
        <v>0.16600000000000001</v>
      </c>
      <c r="E30" s="34">
        <v>6.1624999999999996</v>
      </c>
      <c r="F30" s="34">
        <f t="shared" si="0"/>
        <v>1.022975</v>
      </c>
      <c r="G30" s="45"/>
      <c r="H30" s="46"/>
      <c r="I30" s="156">
        <v>808.95186000000001</v>
      </c>
    </row>
    <row r="31" spans="1:9" ht="26.4" x14ac:dyDescent="0.3">
      <c r="A31" s="243"/>
      <c r="B31" s="36" t="s">
        <v>2036</v>
      </c>
      <c r="C31" s="36" t="s">
        <v>515</v>
      </c>
      <c r="D31" s="37">
        <v>6.952</v>
      </c>
      <c r="E31" s="34">
        <v>2.1589999999999998</v>
      </c>
      <c r="F31" s="34">
        <f t="shared" si="0"/>
        <v>15.009367999999998</v>
      </c>
      <c r="G31" s="45"/>
      <c r="H31" s="46"/>
      <c r="I31" s="156">
        <v>808.95186000000001</v>
      </c>
    </row>
    <row r="32" spans="1:9" x14ac:dyDescent="0.3">
      <c r="A32" s="243"/>
      <c r="B32" s="36" t="s">
        <v>1490</v>
      </c>
      <c r="C32" s="36" t="s">
        <v>939</v>
      </c>
      <c r="D32" s="37">
        <v>0.159</v>
      </c>
      <c r="E32" s="34">
        <v>17.203999999999997</v>
      </c>
      <c r="F32" s="34">
        <f t="shared" si="0"/>
        <v>2.7354359999999995</v>
      </c>
      <c r="G32" s="45"/>
      <c r="H32" s="46"/>
      <c r="I32" s="156">
        <v>808.95186000000001</v>
      </c>
    </row>
    <row r="33" spans="1:9" x14ac:dyDescent="0.3">
      <c r="A33" s="243"/>
      <c r="B33" s="36" t="s">
        <v>130</v>
      </c>
      <c r="C33" s="36" t="s">
        <v>744</v>
      </c>
      <c r="D33" s="37">
        <v>0.20200000000000001</v>
      </c>
      <c r="E33" s="31">
        <v>16.966000000000001</v>
      </c>
      <c r="F33" s="34">
        <f t="shared" si="0"/>
        <v>3.4271320000000003</v>
      </c>
      <c r="G33" s="45"/>
      <c r="H33" s="46"/>
      <c r="I33" s="156">
        <v>808.95186000000001</v>
      </c>
    </row>
    <row r="34" spans="1:9" x14ac:dyDescent="0.3">
      <c r="A34" s="243"/>
      <c r="B34" s="36" t="s">
        <v>78</v>
      </c>
      <c r="C34" s="36" t="s">
        <v>744</v>
      </c>
      <c r="D34" s="37">
        <v>1.012</v>
      </c>
      <c r="E34" s="31">
        <v>20.128</v>
      </c>
      <c r="F34" s="34">
        <f t="shared" si="0"/>
        <v>20.369536</v>
      </c>
      <c r="G34" s="45"/>
      <c r="H34" s="46"/>
      <c r="I34" s="156">
        <v>808.95186000000001</v>
      </c>
    </row>
    <row r="35" spans="1:9" ht="26.4" x14ac:dyDescent="0.3">
      <c r="A35" s="243"/>
      <c r="B35" s="36" t="s">
        <v>1491</v>
      </c>
      <c r="C35" s="36" t="s">
        <v>983</v>
      </c>
      <c r="D35" s="37">
        <v>0.05</v>
      </c>
      <c r="E35" s="31">
        <v>17.807499999999997</v>
      </c>
      <c r="F35" s="31">
        <f t="shared" si="0"/>
        <v>0.89037499999999992</v>
      </c>
      <c r="G35" s="45"/>
      <c r="H35" s="46"/>
      <c r="I35" s="156">
        <v>808.95186000000001</v>
      </c>
    </row>
    <row r="36" spans="1:9" ht="26.4" x14ac:dyDescent="0.3">
      <c r="A36" s="243"/>
      <c r="B36" s="36" t="s">
        <v>1492</v>
      </c>
      <c r="C36" s="36" t="s">
        <v>985</v>
      </c>
      <c r="D36" s="37">
        <v>0.152</v>
      </c>
      <c r="E36" s="31">
        <v>15.911999999999999</v>
      </c>
      <c r="F36" s="31">
        <f t="shared" si="0"/>
        <v>2.4186239999999999</v>
      </c>
      <c r="G36" s="45"/>
      <c r="H36" s="46"/>
      <c r="I36" s="156">
        <v>808.95186000000001</v>
      </c>
    </row>
    <row r="37" spans="1:9" ht="15" thickBot="1" x14ac:dyDescent="0.35">
      <c r="A37" s="243"/>
      <c r="B37" s="36" t="s">
        <v>560</v>
      </c>
      <c r="C37" s="36"/>
      <c r="D37" s="93"/>
      <c r="E37" s="31" t="s">
        <v>560</v>
      </c>
      <c r="F37" s="31" t="str">
        <f t="shared" si="0"/>
        <v/>
      </c>
      <c r="G37" s="35"/>
      <c r="H37" s="31"/>
      <c r="I37" s="156">
        <v>808.95186000000001</v>
      </c>
    </row>
    <row r="38" spans="1:9" ht="15.75" customHeight="1" thickBot="1" x14ac:dyDescent="0.35">
      <c r="A38" s="244" t="s">
        <v>2019</v>
      </c>
      <c r="B38" s="41" t="s">
        <v>560</v>
      </c>
      <c r="C38" s="26" t="s">
        <v>515</v>
      </c>
      <c r="D38" s="94"/>
      <c r="E38" s="42" t="s">
        <v>560</v>
      </c>
      <c r="F38" s="42" t="str">
        <f t="shared" si="0"/>
        <v/>
      </c>
      <c r="G38" s="29"/>
      <c r="H38" s="30"/>
      <c r="I38" s="156">
        <v>2365.6305600000001</v>
      </c>
    </row>
    <row r="39" spans="1:9" x14ac:dyDescent="0.3">
      <c r="A39" s="243"/>
      <c r="B39" s="32" t="s">
        <v>560</v>
      </c>
      <c r="C39" s="32"/>
      <c r="D39" s="92"/>
      <c r="E39" s="43" t="s">
        <v>560</v>
      </c>
      <c r="F39" s="31" t="str">
        <f t="shared" si="0"/>
        <v/>
      </c>
      <c r="G39" s="35"/>
      <c r="H39" s="31"/>
      <c r="I39" s="156">
        <v>2365.6305600000001</v>
      </c>
    </row>
    <row r="40" spans="1:9" ht="26.4" x14ac:dyDescent="0.3">
      <c r="A40" s="243"/>
      <c r="B40" s="36" t="s">
        <v>1724</v>
      </c>
      <c r="C40" s="36" t="s">
        <v>1035</v>
      </c>
      <c r="D40" s="37">
        <v>0.13600000000000001</v>
      </c>
      <c r="E40" s="31">
        <v>67.107500000000002</v>
      </c>
      <c r="F40" s="31">
        <f t="shared" si="0"/>
        <v>9.1266200000000008</v>
      </c>
      <c r="G40" s="45">
        <f>SUM(F40:F46)</f>
        <v>28.100048000000008</v>
      </c>
      <c r="H40" s="46"/>
      <c r="I40" s="156">
        <v>2365.6305600000001</v>
      </c>
    </row>
    <row r="41" spans="1:9" ht="26.4" x14ac:dyDescent="0.3">
      <c r="A41" s="243"/>
      <c r="B41" s="36" t="s">
        <v>2034</v>
      </c>
      <c r="C41" s="36" t="s">
        <v>515</v>
      </c>
      <c r="D41" s="37">
        <v>2.3420000000000001</v>
      </c>
      <c r="E41" s="31">
        <v>6.1624999999999996</v>
      </c>
      <c r="F41" s="31">
        <f t="shared" si="0"/>
        <v>14.432575</v>
      </c>
      <c r="G41" s="45"/>
      <c r="H41" s="46"/>
      <c r="I41" s="156">
        <v>2365.6305600000001</v>
      </c>
    </row>
    <row r="42" spans="1:9" x14ac:dyDescent="0.3">
      <c r="A42" s="243"/>
      <c r="B42" s="36" t="s">
        <v>1434</v>
      </c>
      <c r="C42" s="36" t="s">
        <v>939</v>
      </c>
      <c r="D42" s="37">
        <v>1.2E-2</v>
      </c>
      <c r="E42" s="31">
        <v>17.203999999999997</v>
      </c>
      <c r="F42" s="31">
        <f t="shared" si="0"/>
        <v>0.20644799999999996</v>
      </c>
      <c r="G42" s="45"/>
      <c r="H42" s="46"/>
      <c r="I42" s="156">
        <v>2365.6305600000001</v>
      </c>
    </row>
    <row r="43" spans="1:9" x14ac:dyDescent="0.3">
      <c r="A43" s="243"/>
      <c r="B43" s="36" t="s">
        <v>827</v>
      </c>
      <c r="C43" s="36" t="s">
        <v>744</v>
      </c>
      <c r="D43" s="37">
        <v>3.2000000000000001E-2</v>
      </c>
      <c r="E43" s="31">
        <v>16.966000000000001</v>
      </c>
      <c r="F43" s="31">
        <f t="shared" si="0"/>
        <v>0.54291200000000006</v>
      </c>
      <c r="G43" s="45"/>
      <c r="H43" s="46"/>
      <c r="I43" s="156">
        <v>2365.6305600000001</v>
      </c>
    </row>
    <row r="44" spans="1:9" x14ac:dyDescent="0.3">
      <c r="A44" s="243"/>
      <c r="B44" s="36" t="s">
        <v>1036</v>
      </c>
      <c r="C44" s="36" t="s">
        <v>744</v>
      </c>
      <c r="D44" s="37">
        <v>0.161</v>
      </c>
      <c r="E44" s="31">
        <v>20.128</v>
      </c>
      <c r="F44" s="31">
        <f t="shared" si="0"/>
        <v>3.2406079999999999</v>
      </c>
      <c r="G44" s="45"/>
      <c r="H44" s="46"/>
      <c r="I44" s="156">
        <v>2365.6305600000001</v>
      </c>
    </row>
    <row r="45" spans="1:9" ht="26.4" x14ac:dyDescent="0.3">
      <c r="A45" s="243"/>
      <c r="B45" s="36" t="s">
        <v>1208</v>
      </c>
      <c r="C45" s="36" t="s">
        <v>983</v>
      </c>
      <c r="D45" s="37">
        <v>2.1999999999999999E-2</v>
      </c>
      <c r="E45" s="31">
        <v>17.807499999999997</v>
      </c>
      <c r="F45" s="31">
        <f t="shared" si="0"/>
        <v>0.39176499999999992</v>
      </c>
      <c r="G45" s="45"/>
      <c r="H45" s="46"/>
      <c r="I45" s="156">
        <v>2365.6305600000001</v>
      </c>
    </row>
    <row r="46" spans="1:9" ht="26.4" x14ac:dyDescent="0.3">
      <c r="A46" s="243"/>
      <c r="B46" s="36" t="s">
        <v>1209</v>
      </c>
      <c r="C46" s="36" t="s">
        <v>985</v>
      </c>
      <c r="D46" s="37">
        <v>0.01</v>
      </c>
      <c r="E46" s="31">
        <v>15.911999999999999</v>
      </c>
      <c r="F46" s="34">
        <f t="shared" si="0"/>
        <v>0.15911999999999998</v>
      </c>
      <c r="G46" s="45"/>
      <c r="H46" s="46"/>
      <c r="I46" s="156">
        <v>2365.6305600000001</v>
      </c>
    </row>
    <row r="47" spans="1:9" ht="15" thickBot="1" x14ac:dyDescent="0.35">
      <c r="A47" s="243"/>
      <c r="B47" s="36" t="s">
        <v>560</v>
      </c>
      <c r="C47" s="36"/>
      <c r="D47" s="93"/>
      <c r="E47" s="31" t="s">
        <v>560</v>
      </c>
      <c r="F47" s="31" t="str">
        <f t="shared" si="0"/>
        <v/>
      </c>
      <c r="G47" s="35"/>
      <c r="H47" s="31"/>
      <c r="I47" s="156">
        <v>2365.6305600000001</v>
      </c>
    </row>
    <row r="48" spans="1:9" ht="26.25" customHeight="1" thickBot="1" x14ac:dyDescent="0.35">
      <c r="A48" s="244" t="s">
        <v>157</v>
      </c>
      <c r="B48" s="41" t="s">
        <v>560</v>
      </c>
      <c r="C48" s="26" t="s">
        <v>122</v>
      </c>
      <c r="D48" s="94"/>
      <c r="E48" s="42" t="s">
        <v>560</v>
      </c>
      <c r="F48" s="42" t="str">
        <f t="shared" si="0"/>
        <v/>
      </c>
      <c r="G48" s="29"/>
      <c r="H48" s="30"/>
      <c r="I48" s="156">
        <v>1.4817599999999997</v>
      </c>
    </row>
    <row r="49" spans="1:9" x14ac:dyDescent="0.3">
      <c r="A49" s="243"/>
      <c r="B49" s="32" t="s">
        <v>560</v>
      </c>
      <c r="C49" s="32"/>
      <c r="D49" s="92"/>
      <c r="E49" s="43" t="s">
        <v>560</v>
      </c>
      <c r="F49" s="31" t="str">
        <f t="shared" si="0"/>
        <v/>
      </c>
      <c r="G49" s="35"/>
      <c r="H49" s="31"/>
      <c r="I49" s="156">
        <v>1.4817599999999997</v>
      </c>
    </row>
    <row r="50" spans="1:9" x14ac:dyDescent="0.3">
      <c r="A50" s="243"/>
      <c r="B50" s="36" t="s">
        <v>115</v>
      </c>
      <c r="C50" s="36" t="s">
        <v>122</v>
      </c>
      <c r="D50" s="37">
        <v>1.1599999999999999</v>
      </c>
      <c r="E50" s="34">
        <v>76.5</v>
      </c>
      <c r="F50" s="34">
        <f t="shared" si="0"/>
        <v>88.74</v>
      </c>
      <c r="G50" s="45">
        <f>SUM(F50:F57)</f>
        <v>437.64055981399997</v>
      </c>
      <c r="H50" s="46"/>
      <c r="I50" s="156">
        <v>1.4817599999999997</v>
      </c>
    </row>
    <row r="51" spans="1:9" x14ac:dyDescent="0.3">
      <c r="A51" s="243"/>
      <c r="B51" s="36" t="s">
        <v>1493</v>
      </c>
      <c r="C51" s="36" t="s">
        <v>939</v>
      </c>
      <c r="D51" s="37">
        <v>174.1</v>
      </c>
      <c r="E51" s="34">
        <v>0.79899999999999993</v>
      </c>
      <c r="F51" s="34">
        <f t="shared" si="0"/>
        <v>139.10589999999999</v>
      </c>
      <c r="G51" s="45"/>
      <c r="H51" s="46"/>
      <c r="I51" s="156">
        <v>1.4817599999999997</v>
      </c>
    </row>
    <row r="52" spans="1:9" x14ac:dyDescent="0.3">
      <c r="A52" s="243"/>
      <c r="B52" s="36" t="s">
        <v>116</v>
      </c>
      <c r="C52" s="36" t="s">
        <v>939</v>
      </c>
      <c r="D52" s="37">
        <v>195.86</v>
      </c>
      <c r="E52" s="34">
        <v>0.46750000000000003</v>
      </c>
      <c r="F52" s="34">
        <f t="shared" si="0"/>
        <v>91.564550000000011</v>
      </c>
      <c r="G52" s="45"/>
      <c r="H52" s="46"/>
      <c r="I52" s="156">
        <v>1.4817599999999997</v>
      </c>
    </row>
    <row r="53" spans="1:9" ht="26.4" x14ac:dyDescent="0.3">
      <c r="A53" s="243"/>
      <c r="B53" s="36" t="s">
        <v>118</v>
      </c>
      <c r="C53" s="36" t="s">
        <v>744</v>
      </c>
      <c r="D53" s="37">
        <v>4.5</v>
      </c>
      <c r="E53" s="31">
        <v>15.147</v>
      </c>
      <c r="F53" s="34">
        <f t="shared" si="0"/>
        <v>68.161500000000004</v>
      </c>
      <c r="G53" s="45"/>
      <c r="H53" s="46"/>
      <c r="I53" s="156">
        <v>1.4817599999999997</v>
      </c>
    </row>
    <row r="54" spans="1:9" ht="26.4" x14ac:dyDescent="0.3">
      <c r="A54" s="243"/>
      <c r="B54" s="36" t="s">
        <v>1494</v>
      </c>
      <c r="C54" s="36" t="s">
        <v>983</v>
      </c>
      <c r="D54" s="37">
        <v>1.05</v>
      </c>
      <c r="E54" s="31">
        <v>1.2324999999999999</v>
      </c>
      <c r="F54" s="34">
        <f t="shared" si="0"/>
        <v>1.294125</v>
      </c>
      <c r="G54" s="45"/>
      <c r="H54" s="46"/>
      <c r="I54" s="156">
        <v>1.4817599999999997</v>
      </c>
    </row>
    <row r="55" spans="1:9" ht="26.4" x14ac:dyDescent="0.3">
      <c r="A55" s="243"/>
      <c r="B55" s="36" t="s">
        <v>1495</v>
      </c>
      <c r="C55" s="36" t="s">
        <v>985</v>
      </c>
      <c r="D55" s="37">
        <v>3.45</v>
      </c>
      <c r="E55" s="31">
        <v>0.27200000000000002</v>
      </c>
      <c r="F55" s="34">
        <f t="shared" si="0"/>
        <v>0.93840000000000012</v>
      </c>
      <c r="G55" s="45"/>
      <c r="H55" s="46"/>
      <c r="I55" s="156">
        <v>1.4817599999999997</v>
      </c>
    </row>
    <row r="56" spans="1:9" ht="52.8" x14ac:dyDescent="0.3">
      <c r="A56" s="243"/>
      <c r="B56" s="36" t="s">
        <v>1931</v>
      </c>
      <c r="C56" s="36" t="s">
        <v>122</v>
      </c>
      <c r="D56" s="37">
        <f>ROUND(1*D50,4)</f>
        <v>1.1599999999999999</v>
      </c>
      <c r="E56" s="31">
        <v>5.4507091499999989</v>
      </c>
      <c r="F56" s="34">
        <f t="shared" si="0"/>
        <v>6.3228226139999979</v>
      </c>
      <c r="G56" s="45"/>
      <c r="H56" s="46"/>
      <c r="I56" s="156">
        <v>1.4817599999999997</v>
      </c>
    </row>
    <row r="57" spans="1:9" ht="26.4" x14ac:dyDescent="0.3">
      <c r="A57" s="243"/>
      <c r="B57" s="36" t="s">
        <v>1930</v>
      </c>
      <c r="C57" s="47" t="s">
        <v>124</v>
      </c>
      <c r="D57" s="37">
        <f>ROUND(D50*20,4)</f>
        <v>23.2</v>
      </c>
      <c r="E57" s="31">
        <v>1.7893647499999998</v>
      </c>
      <c r="F57" s="34">
        <f t="shared" si="0"/>
        <v>41.513262199999993</v>
      </c>
      <c r="G57" s="45"/>
      <c r="H57" s="46"/>
      <c r="I57" s="156">
        <v>1.4817599999999997</v>
      </c>
    </row>
    <row r="58" spans="1:9" x14ac:dyDescent="0.3">
      <c r="A58" s="243"/>
      <c r="B58" s="51"/>
      <c r="C58" s="47"/>
      <c r="D58" s="37"/>
      <c r="E58" s="31" t="s">
        <v>560</v>
      </c>
      <c r="F58" s="34" t="str">
        <f t="shared" si="0"/>
        <v/>
      </c>
      <c r="G58" s="45"/>
      <c r="H58" s="46"/>
      <c r="I58" s="156">
        <v>1.4817599999999997</v>
      </c>
    </row>
    <row r="59" spans="1:9" x14ac:dyDescent="0.3">
      <c r="A59" s="243"/>
      <c r="B59" s="48" t="s">
        <v>796</v>
      </c>
      <c r="C59" s="47"/>
      <c r="D59" s="37"/>
      <c r="E59" s="31" t="s">
        <v>560</v>
      </c>
      <c r="F59" s="34" t="str">
        <f t="shared" si="0"/>
        <v/>
      </c>
      <c r="G59" s="45"/>
      <c r="H59" s="46"/>
      <c r="I59" s="156">
        <v>1.4817599999999997</v>
      </c>
    </row>
    <row r="60" spans="1:9" ht="15" thickBot="1" x14ac:dyDescent="0.35">
      <c r="A60" s="243"/>
      <c r="B60" s="36" t="s">
        <v>560</v>
      </c>
      <c r="C60" s="36"/>
      <c r="D60" s="93"/>
      <c r="E60" s="31" t="s">
        <v>560</v>
      </c>
      <c r="F60" s="31" t="str">
        <f t="shared" si="0"/>
        <v/>
      </c>
      <c r="G60" s="35"/>
      <c r="H60" s="31"/>
      <c r="I60" s="156">
        <v>1.4817599999999997</v>
      </c>
    </row>
    <row r="61" spans="1:9" ht="26.25" hidden="1" customHeight="1" thickBot="1" x14ac:dyDescent="0.35">
      <c r="A61" s="244" t="s">
        <v>1520</v>
      </c>
      <c r="B61" s="41" t="s">
        <v>560</v>
      </c>
      <c r="C61" s="26" t="s">
        <v>1035</v>
      </c>
      <c r="D61" s="94"/>
      <c r="E61" s="42" t="s">
        <v>560</v>
      </c>
      <c r="F61" s="42" t="str">
        <f t="shared" si="0"/>
        <v/>
      </c>
      <c r="G61" s="29"/>
      <c r="H61" s="30"/>
      <c r="I61" s="156">
        <v>0</v>
      </c>
    </row>
    <row r="62" spans="1:9" ht="15" hidden="1" thickBot="1" x14ac:dyDescent="0.35">
      <c r="A62" s="243"/>
      <c r="B62" s="32" t="s">
        <v>560</v>
      </c>
      <c r="C62" s="32"/>
      <c r="D62" s="92"/>
      <c r="E62" s="98" t="s">
        <v>560</v>
      </c>
      <c r="F62" s="99" t="str">
        <f t="shared" si="0"/>
        <v/>
      </c>
      <c r="G62" s="35"/>
      <c r="H62" s="31"/>
      <c r="I62" s="156">
        <v>0</v>
      </c>
    </row>
    <row r="63" spans="1:9" ht="15" hidden="1" thickBot="1" x14ac:dyDescent="0.35">
      <c r="A63" s="243"/>
      <c r="B63" s="36" t="s">
        <v>116</v>
      </c>
      <c r="C63" s="36" t="s">
        <v>939</v>
      </c>
      <c r="D63" s="37">
        <v>0.5</v>
      </c>
      <c r="E63" s="34">
        <v>0.46750000000000003</v>
      </c>
      <c r="F63" s="34">
        <f t="shared" si="0"/>
        <v>0.23375000000000001</v>
      </c>
      <c r="G63" s="45">
        <f>SUM(F63:F67)</f>
        <v>33.166733360256401</v>
      </c>
      <c r="H63" s="46"/>
      <c r="I63" s="156">
        <v>0</v>
      </c>
    </row>
    <row r="64" spans="1:9" ht="15" hidden="1" thickBot="1" x14ac:dyDescent="0.35">
      <c r="A64" s="243"/>
      <c r="B64" s="36" t="s">
        <v>222</v>
      </c>
      <c r="C64" s="36" t="s">
        <v>103</v>
      </c>
      <c r="D64" s="37">
        <v>0.435</v>
      </c>
      <c r="E64" s="34">
        <v>9.9364999999999988</v>
      </c>
      <c r="F64" s="34">
        <f t="shared" si="0"/>
        <v>4.3223774999999991</v>
      </c>
      <c r="G64" s="45"/>
      <c r="H64" s="46"/>
      <c r="I64" s="156">
        <v>0</v>
      </c>
    </row>
    <row r="65" spans="1:9" ht="40.200000000000003" hidden="1" thickBot="1" x14ac:dyDescent="0.35">
      <c r="A65" s="243"/>
      <c r="B65" s="36" t="s">
        <v>1411</v>
      </c>
      <c r="C65" s="36" t="s">
        <v>122</v>
      </c>
      <c r="D65" s="37">
        <v>4.3099999999999999E-2</v>
      </c>
      <c r="E65" s="31">
        <v>450.97107564400005</v>
      </c>
      <c r="F65" s="34">
        <f t="shared" si="0"/>
        <v>19.436853360256404</v>
      </c>
      <c r="G65" s="45"/>
      <c r="H65" s="46"/>
      <c r="I65" s="156">
        <v>0</v>
      </c>
    </row>
    <row r="66" spans="1:9" ht="15" hidden="1" thickBot="1" x14ac:dyDescent="0.35">
      <c r="A66" s="243"/>
      <c r="B66" s="36" t="s">
        <v>1184</v>
      </c>
      <c r="C66" s="36" t="s">
        <v>744</v>
      </c>
      <c r="D66" s="37">
        <v>0.33</v>
      </c>
      <c r="E66" s="31">
        <v>20.314999999999998</v>
      </c>
      <c r="F66" s="34">
        <f t="shared" si="0"/>
        <v>6.7039499999999999</v>
      </c>
      <c r="G66" s="45"/>
      <c r="H66" s="46"/>
      <c r="I66" s="156">
        <v>0</v>
      </c>
    </row>
    <row r="67" spans="1:9" ht="15" hidden="1" thickBot="1" x14ac:dyDescent="0.35">
      <c r="A67" s="243"/>
      <c r="B67" s="36" t="s">
        <v>1486</v>
      </c>
      <c r="C67" s="36" t="s">
        <v>744</v>
      </c>
      <c r="D67" s="37">
        <v>0.16500000000000001</v>
      </c>
      <c r="E67" s="31">
        <v>14.968499999999999</v>
      </c>
      <c r="F67" s="34">
        <f t="shared" si="0"/>
        <v>2.4698025000000001</v>
      </c>
      <c r="G67" s="45"/>
      <c r="H67" s="46"/>
      <c r="I67" s="156">
        <v>0</v>
      </c>
    </row>
    <row r="68" spans="1:9" ht="15" hidden="1" thickBot="1" x14ac:dyDescent="0.35">
      <c r="A68" s="243"/>
      <c r="B68" s="36" t="s">
        <v>560</v>
      </c>
      <c r="C68" s="36"/>
      <c r="D68" s="93"/>
      <c r="E68" s="31" t="s">
        <v>560</v>
      </c>
      <c r="F68" s="31" t="str">
        <f t="shared" si="0"/>
        <v/>
      </c>
      <c r="G68" s="35"/>
      <c r="H68" s="31"/>
      <c r="I68" s="156">
        <v>0</v>
      </c>
    </row>
    <row r="69" spans="1:9" ht="15" thickBot="1" x14ac:dyDescent="0.35">
      <c r="A69" s="244" t="s">
        <v>182</v>
      </c>
      <c r="B69" s="41" t="s">
        <v>560</v>
      </c>
      <c r="C69" s="26" t="s">
        <v>122</v>
      </c>
      <c r="D69" s="94"/>
      <c r="E69" s="42" t="s">
        <v>560</v>
      </c>
      <c r="F69" s="42" t="str">
        <f t="shared" si="0"/>
        <v/>
      </c>
      <c r="G69" s="29"/>
      <c r="H69" s="30"/>
      <c r="I69" s="156">
        <v>1.2700799999999999</v>
      </c>
    </row>
    <row r="70" spans="1:9" x14ac:dyDescent="0.3">
      <c r="A70" s="243"/>
      <c r="B70" s="32" t="s">
        <v>560</v>
      </c>
      <c r="C70" s="32"/>
      <c r="D70" s="92"/>
      <c r="E70" s="43" t="s">
        <v>560</v>
      </c>
      <c r="F70" s="31" t="str">
        <f t="shared" ref="F70:F133" si="1">IF(ISNUMBER(E70),E70*$D70,"")</f>
        <v/>
      </c>
      <c r="G70" s="35"/>
      <c r="H70" s="31"/>
      <c r="I70" s="156">
        <v>1.2700799999999999</v>
      </c>
    </row>
    <row r="71" spans="1:9" ht="15.75" customHeight="1" x14ac:dyDescent="0.3">
      <c r="A71" s="243"/>
      <c r="B71" s="36" t="s">
        <v>1496</v>
      </c>
      <c r="C71" s="36" t="s">
        <v>122</v>
      </c>
      <c r="D71" s="37">
        <v>0.94</v>
      </c>
      <c r="E71" s="34">
        <v>119.34</v>
      </c>
      <c r="F71" s="34">
        <f t="shared" si="1"/>
        <v>112.17959999999999</v>
      </c>
      <c r="G71" s="45">
        <f>SUM(F71:F75)</f>
        <v>513.47571890100005</v>
      </c>
      <c r="H71" s="46"/>
      <c r="I71" s="156">
        <v>1.2700799999999999</v>
      </c>
    </row>
    <row r="72" spans="1:9" x14ac:dyDescent="0.3">
      <c r="A72" s="243"/>
      <c r="B72" s="36" t="s">
        <v>116</v>
      </c>
      <c r="C72" s="36" t="s">
        <v>939</v>
      </c>
      <c r="D72" s="37">
        <v>422.63</v>
      </c>
      <c r="E72" s="34">
        <v>0.46750000000000003</v>
      </c>
      <c r="F72" s="34">
        <f t="shared" si="1"/>
        <v>197.57952500000002</v>
      </c>
      <c r="G72" s="45"/>
      <c r="H72" s="46"/>
      <c r="I72" s="156">
        <v>1.2700799999999999</v>
      </c>
    </row>
    <row r="73" spans="1:9" x14ac:dyDescent="0.3">
      <c r="A73" s="243"/>
      <c r="B73" s="36" t="s">
        <v>1486</v>
      </c>
      <c r="C73" s="36" t="s">
        <v>744</v>
      </c>
      <c r="D73" s="37">
        <v>11.02</v>
      </c>
      <c r="E73" s="31">
        <v>14.968499999999999</v>
      </c>
      <c r="F73" s="34">
        <f t="shared" si="1"/>
        <v>164.95286999999999</v>
      </c>
      <c r="G73" s="45"/>
      <c r="H73" s="46"/>
      <c r="I73" s="156">
        <v>1.2700799999999999</v>
      </c>
    </row>
    <row r="74" spans="1:9" ht="52.8" x14ac:dyDescent="0.3">
      <c r="A74" s="243"/>
      <c r="B74" s="36" t="s">
        <v>1931</v>
      </c>
      <c r="C74" s="36" t="s">
        <v>122</v>
      </c>
      <c r="D74" s="37">
        <f>ROUND(1*D71,4)</f>
        <v>0.94</v>
      </c>
      <c r="E74" s="31">
        <v>5.4507091499999989</v>
      </c>
      <c r="F74" s="34">
        <f t="shared" si="1"/>
        <v>5.1236666009999983</v>
      </c>
      <c r="G74" s="45"/>
      <c r="H74" s="46"/>
      <c r="I74" s="156">
        <v>1.2700799999999999</v>
      </c>
    </row>
    <row r="75" spans="1:9" ht="26.4" x14ac:dyDescent="0.3">
      <c r="A75" s="243"/>
      <c r="B75" s="36" t="s">
        <v>1930</v>
      </c>
      <c r="C75" s="47" t="s">
        <v>124</v>
      </c>
      <c r="D75" s="37">
        <f>ROUND(D71*20,4)</f>
        <v>18.8</v>
      </c>
      <c r="E75" s="31">
        <v>1.7893647499999998</v>
      </c>
      <c r="F75" s="34">
        <f t="shared" si="1"/>
        <v>33.640057299999995</v>
      </c>
      <c r="G75" s="45"/>
      <c r="H75" s="46"/>
      <c r="I75" s="156">
        <v>1.2700799999999999</v>
      </c>
    </row>
    <row r="76" spans="1:9" x14ac:dyDescent="0.3">
      <c r="A76" s="243"/>
      <c r="B76" s="51"/>
      <c r="C76" s="47"/>
      <c r="D76" s="37"/>
      <c r="E76" s="31" t="s">
        <v>560</v>
      </c>
      <c r="F76" s="34" t="str">
        <f t="shared" si="1"/>
        <v/>
      </c>
      <c r="G76" s="45"/>
      <c r="H76" s="46"/>
      <c r="I76" s="156">
        <v>1.2700799999999999</v>
      </c>
    </row>
    <row r="77" spans="1:9" x14ac:dyDescent="0.3">
      <c r="A77" s="243"/>
      <c r="B77" s="48" t="s">
        <v>796</v>
      </c>
      <c r="C77" s="47"/>
      <c r="D77" s="37"/>
      <c r="E77" s="31" t="s">
        <v>560</v>
      </c>
      <c r="F77" s="34" t="str">
        <f t="shared" si="1"/>
        <v/>
      </c>
      <c r="G77" s="45"/>
      <c r="H77" s="46"/>
      <c r="I77" s="156">
        <v>1.2700799999999999</v>
      </c>
    </row>
    <row r="78" spans="1:9" ht="26.25" customHeight="1" thickBot="1" x14ac:dyDescent="0.35">
      <c r="A78" s="243"/>
      <c r="B78" s="36" t="s">
        <v>560</v>
      </c>
      <c r="C78" s="36"/>
      <c r="D78" s="93"/>
      <c r="E78" s="31" t="s">
        <v>560</v>
      </c>
      <c r="F78" s="31" t="str">
        <f t="shared" si="1"/>
        <v/>
      </c>
      <c r="G78" s="35"/>
      <c r="H78" s="31"/>
      <c r="I78" s="156">
        <v>1.2700799999999999</v>
      </c>
    </row>
    <row r="79" spans="1:9" ht="15" hidden="1" thickBot="1" x14ac:dyDescent="0.35">
      <c r="A79" s="244" t="s">
        <v>180</v>
      </c>
      <c r="B79" s="41" t="s">
        <v>560</v>
      </c>
      <c r="C79" s="26" t="s">
        <v>122</v>
      </c>
      <c r="D79" s="94"/>
      <c r="E79" s="42" t="s">
        <v>560</v>
      </c>
      <c r="F79" s="42" t="str">
        <f t="shared" si="1"/>
        <v/>
      </c>
      <c r="G79" s="29"/>
      <c r="H79" s="30"/>
      <c r="I79" s="156">
        <v>0</v>
      </c>
    </row>
    <row r="80" spans="1:9" ht="15" hidden="1" thickBot="1" x14ac:dyDescent="0.35">
      <c r="A80" s="243"/>
      <c r="B80" s="32" t="s">
        <v>560</v>
      </c>
      <c r="C80" s="32"/>
      <c r="D80" s="92"/>
      <c r="E80" s="43" t="s">
        <v>560</v>
      </c>
      <c r="F80" s="31" t="str">
        <f t="shared" si="1"/>
        <v/>
      </c>
      <c r="G80" s="35"/>
      <c r="H80" s="31"/>
      <c r="I80" s="156">
        <v>0</v>
      </c>
    </row>
    <row r="81" spans="1:9" ht="15" hidden="1" thickBot="1" x14ac:dyDescent="0.35">
      <c r="A81" s="243"/>
      <c r="B81" s="36" t="s">
        <v>1497</v>
      </c>
      <c r="C81" s="36" t="s">
        <v>939</v>
      </c>
      <c r="D81" s="37">
        <v>1981.23</v>
      </c>
      <c r="E81" s="34">
        <v>0.78200000000000003</v>
      </c>
      <c r="F81" s="34">
        <f t="shared" si="1"/>
        <v>1549.32186</v>
      </c>
      <c r="G81" s="45">
        <f>SUM(F81:F84)</f>
        <v>1627.1738700000001</v>
      </c>
      <c r="H81" s="46"/>
      <c r="I81" s="156">
        <v>0</v>
      </c>
    </row>
    <row r="82" spans="1:9" ht="27" hidden="1" thickBot="1" x14ac:dyDescent="0.35">
      <c r="A82" s="243"/>
      <c r="B82" s="36" t="s">
        <v>118</v>
      </c>
      <c r="C82" s="36" t="s">
        <v>744</v>
      </c>
      <c r="D82" s="37">
        <v>4.72</v>
      </c>
      <c r="E82" s="31">
        <v>15.147</v>
      </c>
      <c r="F82" s="34">
        <f t="shared" si="1"/>
        <v>71.493839999999992</v>
      </c>
      <c r="G82" s="45"/>
      <c r="H82" s="46"/>
      <c r="I82" s="156">
        <v>0</v>
      </c>
    </row>
    <row r="83" spans="1:9" ht="27" hidden="1" thickBot="1" x14ac:dyDescent="0.35">
      <c r="A83" s="243"/>
      <c r="B83" s="36" t="s">
        <v>1498</v>
      </c>
      <c r="C83" s="36" t="s">
        <v>983</v>
      </c>
      <c r="D83" s="37">
        <v>1.1000000000000001</v>
      </c>
      <c r="E83" s="31">
        <v>3.3745000000000003</v>
      </c>
      <c r="F83" s="95">
        <f t="shared" si="1"/>
        <v>3.7119500000000007</v>
      </c>
      <c r="G83" s="45"/>
      <c r="H83" s="46"/>
      <c r="I83" s="156">
        <v>0</v>
      </c>
    </row>
    <row r="84" spans="1:9" ht="27" hidden="1" thickBot="1" x14ac:dyDescent="0.35">
      <c r="A84" s="243"/>
      <c r="B84" s="36" t="s">
        <v>1499</v>
      </c>
      <c r="C84" s="36" t="s">
        <v>985</v>
      </c>
      <c r="D84" s="37">
        <v>3.62</v>
      </c>
      <c r="E84" s="31">
        <v>0.73099999999999998</v>
      </c>
      <c r="F84" s="95">
        <f t="shared" si="1"/>
        <v>2.64622</v>
      </c>
      <c r="G84" s="45"/>
      <c r="H84" s="46"/>
      <c r="I84" s="156">
        <v>0</v>
      </c>
    </row>
    <row r="85" spans="1:9" ht="15" hidden="1" thickBot="1" x14ac:dyDescent="0.35">
      <c r="A85" s="243"/>
      <c r="B85" s="36" t="s">
        <v>560</v>
      </c>
      <c r="C85" s="36"/>
      <c r="D85" s="93"/>
      <c r="E85" s="31" t="s">
        <v>560</v>
      </c>
      <c r="F85" s="31" t="str">
        <f t="shared" si="1"/>
        <v/>
      </c>
      <c r="G85" s="35"/>
      <c r="H85" s="31"/>
      <c r="I85" s="156">
        <v>0</v>
      </c>
    </row>
    <row r="86" spans="1:9" ht="15" thickBot="1" x14ac:dyDescent="0.35">
      <c r="A86" s="244" t="s">
        <v>221</v>
      </c>
      <c r="B86" s="41" t="s">
        <v>560</v>
      </c>
      <c r="C86" s="26" t="s">
        <v>122</v>
      </c>
      <c r="D86" s="94"/>
      <c r="E86" s="42" t="s">
        <v>560</v>
      </c>
      <c r="F86" s="42" t="str">
        <f t="shared" si="1"/>
        <v/>
      </c>
      <c r="G86" s="29"/>
      <c r="H86" s="30"/>
      <c r="I86" s="156">
        <v>1.6120000000000001</v>
      </c>
    </row>
    <row r="87" spans="1:9" x14ac:dyDescent="0.3">
      <c r="A87" s="243"/>
      <c r="B87" s="32" t="s">
        <v>560</v>
      </c>
      <c r="C87" s="32"/>
      <c r="D87" s="92"/>
      <c r="E87" s="43" t="s">
        <v>560</v>
      </c>
      <c r="F87" s="31" t="str">
        <f t="shared" si="1"/>
        <v/>
      </c>
      <c r="G87" s="35"/>
      <c r="H87" s="31"/>
      <c r="I87" s="156">
        <v>1.6120000000000001</v>
      </c>
    </row>
    <row r="88" spans="1:9" ht="26.25" customHeight="1" x14ac:dyDescent="0.3">
      <c r="A88" s="243"/>
      <c r="B88" s="36" t="s">
        <v>115</v>
      </c>
      <c r="C88" s="36" t="s">
        <v>122</v>
      </c>
      <c r="D88" s="37">
        <v>1.35</v>
      </c>
      <c r="E88" s="34">
        <v>76.5</v>
      </c>
      <c r="F88" s="34">
        <f t="shared" si="1"/>
        <v>103.27500000000001</v>
      </c>
      <c r="G88" s="45">
        <f>SUM(F88:F92)</f>
        <v>536.41532560249993</v>
      </c>
      <c r="H88" s="46"/>
      <c r="I88" s="156">
        <v>1.6120000000000001</v>
      </c>
    </row>
    <row r="89" spans="1:9" x14ac:dyDescent="0.3">
      <c r="A89" s="243"/>
      <c r="B89" s="36" t="s">
        <v>116</v>
      </c>
      <c r="C89" s="36" t="s">
        <v>939</v>
      </c>
      <c r="D89" s="37">
        <v>454.58</v>
      </c>
      <c r="E89" s="34">
        <v>0.46750000000000003</v>
      </c>
      <c r="F89" s="34">
        <f t="shared" si="1"/>
        <v>212.51615000000001</v>
      </c>
      <c r="G89" s="45"/>
      <c r="H89" s="46"/>
      <c r="I89" s="156">
        <v>1.6120000000000001</v>
      </c>
    </row>
    <row r="90" spans="1:9" x14ac:dyDescent="0.3">
      <c r="A90" s="243"/>
      <c r="B90" s="36" t="s">
        <v>1486</v>
      </c>
      <c r="C90" s="36" t="s">
        <v>744</v>
      </c>
      <c r="D90" s="37">
        <v>11.02</v>
      </c>
      <c r="E90" s="31">
        <v>14.968499999999999</v>
      </c>
      <c r="F90" s="34">
        <f t="shared" si="1"/>
        <v>164.95286999999999</v>
      </c>
      <c r="G90" s="45"/>
      <c r="H90" s="46"/>
      <c r="I90" s="156">
        <v>1.6120000000000001</v>
      </c>
    </row>
    <row r="91" spans="1:9" ht="52.8" x14ac:dyDescent="0.3">
      <c r="A91" s="243"/>
      <c r="B91" s="36" t="s">
        <v>1931</v>
      </c>
      <c r="C91" s="36" t="s">
        <v>122</v>
      </c>
      <c r="D91" s="37">
        <f>ROUND(1*D88,4)</f>
        <v>1.35</v>
      </c>
      <c r="E91" s="31">
        <v>5.4507091499999989</v>
      </c>
      <c r="F91" s="34">
        <f t="shared" si="1"/>
        <v>7.3584573524999985</v>
      </c>
      <c r="G91" s="45"/>
      <c r="H91" s="46"/>
      <c r="I91" s="156">
        <v>1.6120000000000001</v>
      </c>
    </row>
    <row r="92" spans="1:9" ht="26.4" x14ac:dyDescent="0.3">
      <c r="A92" s="243"/>
      <c r="B92" s="36" t="s">
        <v>1930</v>
      </c>
      <c r="C92" s="47" t="s">
        <v>124</v>
      </c>
      <c r="D92" s="37">
        <f>ROUND(D88*20,4)</f>
        <v>27</v>
      </c>
      <c r="E92" s="31">
        <v>1.7893647499999998</v>
      </c>
      <c r="F92" s="34">
        <f t="shared" si="1"/>
        <v>48.312848249999995</v>
      </c>
      <c r="G92" s="45"/>
      <c r="H92" s="46"/>
      <c r="I92" s="156">
        <v>1.6120000000000001</v>
      </c>
    </row>
    <row r="93" spans="1:9" x14ac:dyDescent="0.3">
      <c r="A93" s="243"/>
      <c r="B93" s="51"/>
      <c r="C93" s="47"/>
      <c r="D93" s="37"/>
      <c r="E93" s="31" t="s">
        <v>560</v>
      </c>
      <c r="F93" s="34" t="str">
        <f t="shared" si="1"/>
        <v/>
      </c>
      <c r="G93" s="45"/>
      <c r="H93" s="46"/>
      <c r="I93" s="156">
        <v>1.6120000000000001</v>
      </c>
    </row>
    <row r="94" spans="1:9" x14ac:dyDescent="0.3">
      <c r="A94" s="243"/>
      <c r="B94" s="48" t="s">
        <v>796</v>
      </c>
      <c r="C94" s="47"/>
      <c r="D94" s="37"/>
      <c r="E94" s="31" t="s">
        <v>560</v>
      </c>
      <c r="F94" s="34" t="str">
        <f t="shared" si="1"/>
        <v/>
      </c>
      <c r="G94" s="45"/>
      <c r="H94" s="46"/>
      <c r="I94" s="156">
        <v>1.6120000000000001</v>
      </c>
    </row>
    <row r="95" spans="1:9" ht="15" thickBot="1" x14ac:dyDescent="0.35">
      <c r="A95" s="243"/>
      <c r="B95" s="36" t="s">
        <v>560</v>
      </c>
      <c r="C95" s="36"/>
      <c r="D95" s="93"/>
      <c r="E95" s="31" t="s">
        <v>560</v>
      </c>
      <c r="F95" s="31" t="str">
        <f t="shared" si="1"/>
        <v/>
      </c>
      <c r="G95" s="35"/>
      <c r="H95" s="31"/>
      <c r="I95" s="156">
        <v>1.6120000000000001</v>
      </c>
    </row>
    <row r="96" spans="1:9" ht="15" hidden="1" thickBot="1" x14ac:dyDescent="0.35">
      <c r="A96" s="244" t="s">
        <v>258</v>
      </c>
      <c r="B96" s="41" t="s">
        <v>560</v>
      </c>
      <c r="C96" s="26" t="s">
        <v>122</v>
      </c>
      <c r="D96" s="94"/>
      <c r="E96" s="42" t="s">
        <v>560</v>
      </c>
      <c r="F96" s="42" t="str">
        <f t="shared" si="1"/>
        <v/>
      </c>
      <c r="G96" s="29"/>
      <c r="H96" s="30"/>
      <c r="I96" s="156">
        <v>0</v>
      </c>
    </row>
    <row r="97" spans="1:9" ht="15" hidden="1" thickBot="1" x14ac:dyDescent="0.35">
      <c r="A97" s="243"/>
      <c r="B97" s="32" t="s">
        <v>560</v>
      </c>
      <c r="C97" s="32"/>
      <c r="D97" s="92"/>
      <c r="E97" s="43" t="s">
        <v>560</v>
      </c>
      <c r="F97" s="31" t="str">
        <f t="shared" si="1"/>
        <v/>
      </c>
      <c r="G97" s="35"/>
      <c r="H97" s="31"/>
      <c r="I97" s="156">
        <v>0</v>
      </c>
    </row>
    <row r="98" spans="1:9" ht="15.75" hidden="1" customHeight="1" x14ac:dyDescent="0.3">
      <c r="A98" s="243"/>
      <c r="B98" s="36" t="s">
        <v>115</v>
      </c>
      <c r="C98" s="36" t="s">
        <v>122</v>
      </c>
      <c r="D98" s="37">
        <v>1.1499999999999999</v>
      </c>
      <c r="E98" s="34">
        <v>76.5</v>
      </c>
      <c r="F98" s="34">
        <f t="shared" si="1"/>
        <v>87.974999999999994</v>
      </c>
      <c r="G98" s="45">
        <f>SUM(F98:F102)</f>
        <v>441.59751977250005</v>
      </c>
      <c r="H98" s="46"/>
      <c r="I98" s="156">
        <v>0</v>
      </c>
    </row>
    <row r="99" spans="1:9" ht="15" hidden="1" thickBot="1" x14ac:dyDescent="0.35">
      <c r="A99" s="243"/>
      <c r="B99" s="36" t="s">
        <v>116</v>
      </c>
      <c r="C99" s="36" t="s">
        <v>939</v>
      </c>
      <c r="D99" s="37">
        <v>389.54</v>
      </c>
      <c r="E99" s="34">
        <v>0.46750000000000003</v>
      </c>
      <c r="F99" s="34">
        <f t="shared" si="1"/>
        <v>182.10995000000003</v>
      </c>
      <c r="G99" s="45"/>
      <c r="H99" s="46"/>
      <c r="I99" s="156">
        <v>0</v>
      </c>
    </row>
    <row r="100" spans="1:9" ht="15" hidden="1" thickBot="1" x14ac:dyDescent="0.35">
      <c r="A100" s="243"/>
      <c r="B100" s="36" t="s">
        <v>1486</v>
      </c>
      <c r="C100" s="36" t="s">
        <v>744</v>
      </c>
      <c r="D100" s="37">
        <v>8.2899999999999991</v>
      </c>
      <c r="E100" s="31">
        <v>14.968499999999999</v>
      </c>
      <c r="F100" s="34">
        <f t="shared" si="1"/>
        <v>124.08886499999998</v>
      </c>
      <c r="G100" s="45"/>
      <c r="H100" s="46"/>
      <c r="I100" s="156">
        <v>0</v>
      </c>
    </row>
    <row r="101" spans="1:9" ht="53.4" hidden="1" thickBot="1" x14ac:dyDescent="0.35">
      <c r="A101" s="243"/>
      <c r="B101" s="36" t="s">
        <v>1931</v>
      </c>
      <c r="C101" s="36" t="s">
        <v>122</v>
      </c>
      <c r="D101" s="37">
        <f>ROUND(1*D98,4)</f>
        <v>1.1499999999999999</v>
      </c>
      <c r="E101" s="31">
        <v>5.4507091499999989</v>
      </c>
      <c r="F101" s="34">
        <f t="shared" si="1"/>
        <v>6.2683155224999982</v>
      </c>
      <c r="G101" s="45"/>
      <c r="H101" s="46"/>
      <c r="I101" s="156">
        <v>0</v>
      </c>
    </row>
    <row r="102" spans="1:9" ht="27" hidden="1" thickBot="1" x14ac:dyDescent="0.35">
      <c r="A102" s="243"/>
      <c r="B102" s="36" t="s">
        <v>1930</v>
      </c>
      <c r="C102" s="47" t="s">
        <v>124</v>
      </c>
      <c r="D102" s="37">
        <f>ROUND(D98*20,4)</f>
        <v>23</v>
      </c>
      <c r="E102" s="31">
        <v>1.7893647499999998</v>
      </c>
      <c r="F102" s="34">
        <f t="shared" si="1"/>
        <v>41.155389249999999</v>
      </c>
      <c r="G102" s="45"/>
      <c r="H102" s="46"/>
      <c r="I102" s="156">
        <v>0</v>
      </c>
    </row>
    <row r="103" spans="1:9" ht="15" hidden="1" thickBot="1" x14ac:dyDescent="0.35">
      <c r="A103" s="243"/>
      <c r="B103" s="51"/>
      <c r="C103" s="47"/>
      <c r="D103" s="37"/>
      <c r="E103" s="31" t="s">
        <v>560</v>
      </c>
      <c r="F103" s="34" t="str">
        <f t="shared" si="1"/>
        <v/>
      </c>
      <c r="G103" s="45"/>
      <c r="H103" s="46"/>
      <c r="I103" s="156">
        <v>0</v>
      </c>
    </row>
    <row r="104" spans="1:9" ht="15.75" hidden="1" customHeight="1" x14ac:dyDescent="0.3">
      <c r="A104" s="243"/>
      <c r="B104" s="48" t="s">
        <v>796</v>
      </c>
      <c r="C104" s="47"/>
      <c r="D104" s="37"/>
      <c r="E104" s="31" t="s">
        <v>560</v>
      </c>
      <c r="F104" s="34" t="str">
        <f t="shared" si="1"/>
        <v/>
      </c>
      <c r="G104" s="45"/>
      <c r="H104" s="46"/>
      <c r="I104" s="156">
        <v>0</v>
      </c>
    </row>
    <row r="105" spans="1:9" ht="15" hidden="1" thickBot="1" x14ac:dyDescent="0.35">
      <c r="A105" s="243"/>
      <c r="B105" s="36" t="s">
        <v>560</v>
      </c>
      <c r="C105" s="36"/>
      <c r="D105" s="93"/>
      <c r="E105" s="31" t="s">
        <v>560</v>
      </c>
      <c r="F105" s="31" t="str">
        <f t="shared" si="1"/>
        <v/>
      </c>
      <c r="G105" s="35"/>
      <c r="H105" s="31"/>
      <c r="I105" s="156">
        <v>0</v>
      </c>
    </row>
    <row r="106" spans="1:9" ht="15" thickBot="1" x14ac:dyDescent="0.35">
      <c r="A106" s="244" t="s">
        <v>504</v>
      </c>
      <c r="B106" s="41" t="s">
        <v>560</v>
      </c>
      <c r="C106" s="26" t="s">
        <v>515</v>
      </c>
      <c r="D106" s="94"/>
      <c r="E106" s="42" t="s">
        <v>560</v>
      </c>
      <c r="F106" s="42" t="str">
        <f t="shared" si="1"/>
        <v/>
      </c>
      <c r="G106" s="29"/>
      <c r="H106" s="30"/>
      <c r="I106" s="156">
        <v>800</v>
      </c>
    </row>
    <row r="107" spans="1:9" x14ac:dyDescent="0.3">
      <c r="A107" s="243"/>
      <c r="B107" s="32" t="s">
        <v>560</v>
      </c>
      <c r="C107" s="32"/>
      <c r="D107" s="92"/>
      <c r="E107" s="43" t="s">
        <v>560</v>
      </c>
      <c r="F107" s="31" t="str">
        <f t="shared" si="1"/>
        <v/>
      </c>
      <c r="G107" s="35"/>
      <c r="H107" s="31"/>
      <c r="I107" s="156">
        <v>800</v>
      </c>
    </row>
    <row r="108" spans="1:9" ht="26.4" x14ac:dyDescent="0.3">
      <c r="A108" s="243"/>
      <c r="B108" s="36" t="s">
        <v>1488</v>
      </c>
      <c r="C108" s="36" t="s">
        <v>292</v>
      </c>
      <c r="D108" s="37">
        <v>0.33300000000000002</v>
      </c>
      <c r="E108" s="34">
        <v>1.1729999999999998</v>
      </c>
      <c r="F108" s="34">
        <f t="shared" si="1"/>
        <v>0.39060899999999998</v>
      </c>
      <c r="G108" s="45">
        <f>SUM(F108:F110)</f>
        <v>1.164534</v>
      </c>
      <c r="H108" s="46"/>
      <c r="I108" s="156">
        <v>800</v>
      </c>
    </row>
    <row r="109" spans="1:9" x14ac:dyDescent="0.3">
      <c r="A109" s="243"/>
      <c r="B109" s="36" t="s">
        <v>108</v>
      </c>
      <c r="C109" s="36" t="s">
        <v>744</v>
      </c>
      <c r="D109" s="37">
        <v>5.0000000000000001E-3</v>
      </c>
      <c r="E109" s="31">
        <v>15.4955</v>
      </c>
      <c r="F109" s="34">
        <f t="shared" si="1"/>
        <v>7.7477500000000005E-2</v>
      </c>
      <c r="G109" s="45"/>
      <c r="H109" s="46"/>
      <c r="I109" s="156">
        <v>800</v>
      </c>
    </row>
    <row r="110" spans="1:9" ht="15.75" customHeight="1" x14ac:dyDescent="0.3">
      <c r="A110" s="243"/>
      <c r="B110" s="36" t="s">
        <v>1487</v>
      </c>
      <c r="C110" s="36" t="s">
        <v>744</v>
      </c>
      <c r="D110" s="37">
        <v>3.5000000000000003E-2</v>
      </c>
      <c r="E110" s="31">
        <v>19.898499999999999</v>
      </c>
      <c r="F110" s="34">
        <f t="shared" si="1"/>
        <v>0.6964475</v>
      </c>
      <c r="G110" s="45"/>
      <c r="H110" s="46"/>
      <c r="I110" s="156">
        <v>800</v>
      </c>
    </row>
    <row r="111" spans="1:9" ht="15" thickBot="1" x14ac:dyDescent="0.35">
      <c r="A111" s="243"/>
      <c r="B111" s="36" t="s">
        <v>560</v>
      </c>
      <c r="C111" s="36"/>
      <c r="D111" s="93"/>
      <c r="E111" s="31" t="s">
        <v>560</v>
      </c>
      <c r="F111" s="31" t="str">
        <f t="shared" si="1"/>
        <v/>
      </c>
      <c r="G111" s="35"/>
      <c r="H111" s="31"/>
      <c r="I111" s="156">
        <v>800</v>
      </c>
    </row>
    <row r="112" spans="1:9" ht="15" hidden="1" thickBot="1" x14ac:dyDescent="0.35">
      <c r="A112" s="244" t="s">
        <v>519</v>
      </c>
      <c r="B112" s="41" t="s">
        <v>560</v>
      </c>
      <c r="C112" s="26" t="s">
        <v>292</v>
      </c>
      <c r="D112" s="94"/>
      <c r="E112" s="42" t="s">
        <v>560</v>
      </c>
      <c r="F112" s="42" t="str">
        <f t="shared" si="1"/>
        <v/>
      </c>
      <c r="G112" s="29"/>
      <c r="H112" s="30"/>
      <c r="I112" s="156">
        <v>0</v>
      </c>
    </row>
    <row r="113" spans="1:9" ht="15" hidden="1" thickBot="1" x14ac:dyDescent="0.35">
      <c r="A113" s="243"/>
      <c r="B113" s="32" t="s">
        <v>560</v>
      </c>
      <c r="C113" s="32"/>
      <c r="D113" s="92"/>
      <c r="E113" s="43" t="s">
        <v>560</v>
      </c>
      <c r="F113" s="31" t="str">
        <f t="shared" si="1"/>
        <v/>
      </c>
      <c r="G113" s="35"/>
      <c r="H113" s="31"/>
      <c r="I113" s="156">
        <v>0</v>
      </c>
    </row>
    <row r="114" spans="1:9" ht="27" hidden="1" thickBot="1" x14ac:dyDescent="0.35">
      <c r="A114" s="243"/>
      <c r="B114" s="36" t="s">
        <v>1500</v>
      </c>
      <c r="C114" s="36" t="s">
        <v>292</v>
      </c>
      <c r="D114" s="37">
        <v>1</v>
      </c>
      <c r="E114" s="34">
        <v>1.5129999999999999</v>
      </c>
      <c r="F114" s="34">
        <f t="shared" si="1"/>
        <v>1.5129999999999999</v>
      </c>
      <c r="G114" s="45">
        <f>SUM(F114:F116)</f>
        <v>8.1658378000000003</v>
      </c>
      <c r="H114" s="46"/>
      <c r="I114" s="156">
        <v>0</v>
      </c>
    </row>
    <row r="115" spans="1:9" ht="15" hidden="1" thickBot="1" x14ac:dyDescent="0.35">
      <c r="A115" s="243"/>
      <c r="B115" s="36" t="s">
        <v>74</v>
      </c>
      <c r="C115" s="36" t="s">
        <v>744</v>
      </c>
      <c r="D115" s="37">
        <v>0.1827</v>
      </c>
      <c r="E115" s="31">
        <v>15.928999999999998</v>
      </c>
      <c r="F115" s="34">
        <f t="shared" si="1"/>
        <v>2.9102282999999995</v>
      </c>
      <c r="G115" s="45"/>
      <c r="H115" s="46"/>
      <c r="I115" s="156">
        <v>0</v>
      </c>
    </row>
    <row r="116" spans="1:9" ht="15.75" hidden="1" customHeight="1" x14ac:dyDescent="0.3">
      <c r="A116" s="243"/>
      <c r="B116" s="36" t="s">
        <v>30</v>
      </c>
      <c r="C116" s="36" t="s">
        <v>744</v>
      </c>
      <c r="D116" s="37">
        <v>0.1827</v>
      </c>
      <c r="E116" s="31">
        <v>20.484999999999999</v>
      </c>
      <c r="F116" s="34">
        <f t="shared" si="1"/>
        <v>3.7426094999999999</v>
      </c>
      <c r="G116" s="45"/>
      <c r="H116" s="46"/>
      <c r="I116" s="156">
        <v>0</v>
      </c>
    </row>
    <row r="117" spans="1:9" ht="15" hidden="1" thickBot="1" x14ac:dyDescent="0.35">
      <c r="A117" s="243"/>
      <c r="B117" s="36" t="s">
        <v>560</v>
      </c>
      <c r="C117" s="36"/>
      <c r="D117" s="93"/>
      <c r="E117" s="31" t="s">
        <v>560</v>
      </c>
      <c r="F117" s="31" t="str">
        <f t="shared" si="1"/>
        <v/>
      </c>
      <c r="G117" s="35"/>
      <c r="H117" s="31"/>
      <c r="I117" s="156">
        <v>0</v>
      </c>
    </row>
    <row r="118" spans="1:9" ht="15" thickBot="1" x14ac:dyDescent="0.35">
      <c r="A118" s="244" t="s">
        <v>511</v>
      </c>
      <c r="B118" s="41" t="s">
        <v>560</v>
      </c>
      <c r="C118" s="26" t="s">
        <v>292</v>
      </c>
      <c r="D118" s="94"/>
      <c r="E118" s="42" t="s">
        <v>560</v>
      </c>
      <c r="F118" s="42" t="str">
        <f t="shared" si="1"/>
        <v/>
      </c>
      <c r="G118" s="29"/>
      <c r="H118" s="30"/>
      <c r="I118" s="156">
        <v>133.32</v>
      </c>
    </row>
    <row r="119" spans="1:9" x14ac:dyDescent="0.3">
      <c r="A119" s="243"/>
      <c r="B119" s="32" t="s">
        <v>560</v>
      </c>
      <c r="C119" s="32"/>
      <c r="D119" s="92"/>
      <c r="E119" s="43" t="s">
        <v>560</v>
      </c>
      <c r="F119" s="31" t="str">
        <f t="shared" si="1"/>
        <v/>
      </c>
      <c r="G119" s="35"/>
      <c r="H119" s="31"/>
      <c r="I119" s="156">
        <v>133.32</v>
      </c>
    </row>
    <row r="120" spans="1:9" x14ac:dyDescent="0.3">
      <c r="A120" s="243"/>
      <c r="B120" s="36" t="s">
        <v>1501</v>
      </c>
      <c r="C120" s="36" t="s">
        <v>292</v>
      </c>
      <c r="D120" s="37">
        <v>1</v>
      </c>
      <c r="E120" s="34">
        <v>1.7594999999999998</v>
      </c>
      <c r="F120" s="34">
        <f t="shared" si="1"/>
        <v>1.7594999999999998</v>
      </c>
      <c r="G120" s="45">
        <f>SUM(F120:F122)</f>
        <v>9.162466199999999</v>
      </c>
      <c r="H120" s="46"/>
      <c r="I120" s="156">
        <v>133.32</v>
      </c>
    </row>
    <row r="121" spans="1:9" x14ac:dyDescent="0.3">
      <c r="A121" s="243"/>
      <c r="B121" s="36" t="s">
        <v>74</v>
      </c>
      <c r="C121" s="36" t="s">
        <v>744</v>
      </c>
      <c r="D121" s="37">
        <v>0.20330000000000001</v>
      </c>
      <c r="E121" s="31">
        <v>15.928999999999998</v>
      </c>
      <c r="F121" s="34">
        <f t="shared" si="1"/>
        <v>3.2383656999999997</v>
      </c>
      <c r="G121" s="45"/>
      <c r="H121" s="46"/>
      <c r="I121" s="156">
        <v>133.32</v>
      </c>
    </row>
    <row r="122" spans="1:9" ht="15.75" customHeight="1" x14ac:dyDescent="0.3">
      <c r="A122" s="243"/>
      <c r="B122" s="36" t="s">
        <v>30</v>
      </c>
      <c r="C122" s="36" t="s">
        <v>744</v>
      </c>
      <c r="D122" s="37">
        <v>0.20330000000000001</v>
      </c>
      <c r="E122" s="31">
        <v>20.484999999999999</v>
      </c>
      <c r="F122" s="34">
        <f t="shared" si="1"/>
        <v>4.1646004999999997</v>
      </c>
      <c r="G122" s="45"/>
      <c r="H122" s="46"/>
      <c r="I122" s="156">
        <v>133.32</v>
      </c>
    </row>
    <row r="123" spans="1:9" ht="15" thickBot="1" x14ac:dyDescent="0.35">
      <c r="A123" s="243"/>
      <c r="B123" s="36" t="s">
        <v>560</v>
      </c>
      <c r="C123" s="36"/>
      <c r="D123" s="93"/>
      <c r="E123" s="31" t="s">
        <v>560</v>
      </c>
      <c r="F123" s="31" t="str">
        <f t="shared" si="1"/>
        <v/>
      </c>
      <c r="G123" s="35"/>
      <c r="H123" s="31"/>
      <c r="I123" s="156">
        <v>133.32</v>
      </c>
    </row>
    <row r="124" spans="1:9" ht="15" hidden="1" thickBot="1" x14ac:dyDescent="0.35">
      <c r="A124" s="244" t="s">
        <v>508</v>
      </c>
      <c r="B124" s="41" t="s">
        <v>560</v>
      </c>
      <c r="C124" s="26" t="s">
        <v>292</v>
      </c>
      <c r="D124" s="94"/>
      <c r="E124" s="42" t="s">
        <v>560</v>
      </c>
      <c r="F124" s="42" t="str">
        <f t="shared" si="1"/>
        <v/>
      </c>
      <c r="G124" s="29"/>
      <c r="H124" s="30"/>
      <c r="I124" s="156">
        <v>0</v>
      </c>
    </row>
    <row r="125" spans="1:9" ht="15" hidden="1" thickBot="1" x14ac:dyDescent="0.35">
      <c r="A125" s="243"/>
      <c r="B125" s="32" t="s">
        <v>560</v>
      </c>
      <c r="C125" s="32"/>
      <c r="D125" s="92"/>
      <c r="E125" s="43" t="s">
        <v>560</v>
      </c>
      <c r="F125" s="31" t="str">
        <f t="shared" si="1"/>
        <v/>
      </c>
      <c r="G125" s="35"/>
      <c r="H125" s="31"/>
      <c r="I125" s="156">
        <v>0</v>
      </c>
    </row>
    <row r="126" spans="1:9" ht="27" hidden="1" thickBot="1" x14ac:dyDescent="0.35">
      <c r="A126" s="243"/>
      <c r="B126" s="36" t="s">
        <v>1502</v>
      </c>
      <c r="C126" s="36" t="s">
        <v>292</v>
      </c>
      <c r="D126" s="37">
        <v>1</v>
      </c>
      <c r="E126" s="34">
        <v>3.1194999999999999</v>
      </c>
      <c r="F126" s="34">
        <f t="shared" si="1"/>
        <v>3.1194999999999999</v>
      </c>
      <c r="G126" s="45">
        <f>SUM(F126:F128)</f>
        <v>11.574830799999997</v>
      </c>
      <c r="H126" s="46"/>
      <c r="I126" s="156">
        <v>0</v>
      </c>
    </row>
    <row r="127" spans="1:9" ht="15" hidden="1" thickBot="1" x14ac:dyDescent="0.35">
      <c r="A127" s="243"/>
      <c r="B127" s="36" t="s">
        <v>74</v>
      </c>
      <c r="C127" s="36" t="s">
        <v>744</v>
      </c>
      <c r="D127" s="37">
        <v>0.23219999999999999</v>
      </c>
      <c r="E127" s="31">
        <v>15.928999999999998</v>
      </c>
      <c r="F127" s="34">
        <f t="shared" si="1"/>
        <v>3.6987137999999993</v>
      </c>
      <c r="G127" s="45"/>
      <c r="H127" s="46"/>
      <c r="I127" s="156">
        <v>0</v>
      </c>
    </row>
    <row r="128" spans="1:9" ht="15.75" hidden="1" customHeight="1" x14ac:dyDescent="0.3">
      <c r="A128" s="243"/>
      <c r="B128" s="36" t="s">
        <v>30</v>
      </c>
      <c r="C128" s="36" t="s">
        <v>744</v>
      </c>
      <c r="D128" s="37">
        <v>0.23219999999999999</v>
      </c>
      <c r="E128" s="31">
        <v>20.484999999999999</v>
      </c>
      <c r="F128" s="34">
        <f t="shared" si="1"/>
        <v>4.7566169999999994</v>
      </c>
      <c r="G128" s="45"/>
      <c r="H128" s="46"/>
      <c r="I128" s="156">
        <v>0</v>
      </c>
    </row>
    <row r="129" spans="1:9" ht="15" hidden="1" thickBot="1" x14ac:dyDescent="0.35">
      <c r="A129" s="243"/>
      <c r="B129" s="36" t="s">
        <v>560</v>
      </c>
      <c r="C129" s="36"/>
      <c r="D129" s="93"/>
      <c r="E129" s="31" t="s">
        <v>560</v>
      </c>
      <c r="F129" s="31" t="str">
        <f t="shared" si="1"/>
        <v/>
      </c>
      <c r="G129" s="35"/>
      <c r="H129" s="31"/>
      <c r="I129" s="156">
        <v>0</v>
      </c>
    </row>
    <row r="130" spans="1:9" ht="15" hidden="1" thickBot="1" x14ac:dyDescent="0.35">
      <c r="A130" s="244" t="s">
        <v>505</v>
      </c>
      <c r="B130" s="41" t="s">
        <v>560</v>
      </c>
      <c r="C130" s="26" t="s">
        <v>292</v>
      </c>
      <c r="D130" s="94"/>
      <c r="E130" s="42" t="s">
        <v>560</v>
      </c>
      <c r="F130" s="42" t="str">
        <f t="shared" si="1"/>
        <v/>
      </c>
      <c r="G130" s="29"/>
      <c r="H130" s="30"/>
      <c r="I130" s="156">
        <v>0</v>
      </c>
    </row>
    <row r="131" spans="1:9" ht="15" hidden="1" thickBot="1" x14ac:dyDescent="0.35">
      <c r="A131" s="243"/>
      <c r="B131" s="32" t="s">
        <v>560</v>
      </c>
      <c r="C131" s="32"/>
      <c r="D131" s="92"/>
      <c r="E131" s="43" t="s">
        <v>560</v>
      </c>
      <c r="F131" s="31" t="str">
        <f t="shared" si="1"/>
        <v/>
      </c>
      <c r="G131" s="35"/>
      <c r="H131" s="31"/>
      <c r="I131" s="156">
        <v>0</v>
      </c>
    </row>
    <row r="132" spans="1:9" ht="27" hidden="1" thickBot="1" x14ac:dyDescent="0.35">
      <c r="A132" s="243"/>
      <c r="B132" s="36" t="s">
        <v>1503</v>
      </c>
      <c r="C132" s="36" t="s">
        <v>292</v>
      </c>
      <c r="D132" s="37">
        <v>1</v>
      </c>
      <c r="E132" s="34">
        <v>4.5134999999999996</v>
      </c>
      <c r="F132" s="34">
        <f t="shared" si="1"/>
        <v>4.5134999999999996</v>
      </c>
      <c r="G132" s="45">
        <f>SUM(F132:F134)</f>
        <v>14.166851399999999</v>
      </c>
      <c r="H132" s="46"/>
      <c r="I132" s="156">
        <v>0</v>
      </c>
    </row>
    <row r="133" spans="1:9" ht="15" hidden="1" thickBot="1" x14ac:dyDescent="0.35">
      <c r="A133" s="243"/>
      <c r="B133" s="36" t="s">
        <v>74</v>
      </c>
      <c r="C133" s="36" t="s">
        <v>744</v>
      </c>
      <c r="D133" s="37">
        <v>0.2651</v>
      </c>
      <c r="E133" s="31">
        <v>15.928999999999998</v>
      </c>
      <c r="F133" s="34">
        <f t="shared" si="1"/>
        <v>4.2227778999999996</v>
      </c>
      <c r="G133" s="45"/>
      <c r="H133" s="46"/>
      <c r="I133" s="156">
        <v>0</v>
      </c>
    </row>
    <row r="134" spans="1:9" ht="15.75" hidden="1" customHeight="1" x14ac:dyDescent="0.3">
      <c r="A134" s="243"/>
      <c r="B134" s="36" t="s">
        <v>30</v>
      </c>
      <c r="C134" s="36" t="s">
        <v>744</v>
      </c>
      <c r="D134" s="37">
        <v>0.2651</v>
      </c>
      <c r="E134" s="31">
        <v>20.484999999999999</v>
      </c>
      <c r="F134" s="34">
        <f t="shared" ref="F134:F197" si="2">IF(ISNUMBER(E134),E134*$D134,"")</f>
        <v>5.4305734999999995</v>
      </c>
      <c r="G134" s="45"/>
      <c r="H134" s="46"/>
      <c r="I134" s="156">
        <v>0</v>
      </c>
    </row>
    <row r="135" spans="1:9" ht="15" hidden="1" thickBot="1" x14ac:dyDescent="0.35">
      <c r="A135" s="243"/>
      <c r="B135" s="36" t="s">
        <v>560</v>
      </c>
      <c r="C135" s="36"/>
      <c r="D135" s="93"/>
      <c r="E135" s="31" t="s">
        <v>560</v>
      </c>
      <c r="F135" s="31" t="str">
        <f t="shared" si="2"/>
        <v/>
      </c>
      <c r="G135" s="35"/>
      <c r="H135" s="31"/>
      <c r="I135" s="156">
        <v>0</v>
      </c>
    </row>
    <row r="136" spans="1:9" ht="15" thickBot="1" x14ac:dyDescent="0.35">
      <c r="A136" s="244" t="s">
        <v>516</v>
      </c>
      <c r="B136" s="41" t="s">
        <v>560</v>
      </c>
      <c r="C136" s="26" t="s">
        <v>292</v>
      </c>
      <c r="D136" s="94"/>
      <c r="E136" s="42" t="s">
        <v>560</v>
      </c>
      <c r="F136" s="42" t="str">
        <f t="shared" si="2"/>
        <v/>
      </c>
      <c r="G136" s="29"/>
      <c r="H136" s="30"/>
      <c r="I136" s="156">
        <v>283.30500000000001</v>
      </c>
    </row>
    <row r="137" spans="1:9" x14ac:dyDescent="0.3">
      <c r="A137" s="243"/>
      <c r="B137" s="32" t="s">
        <v>560</v>
      </c>
      <c r="C137" s="32"/>
      <c r="D137" s="92"/>
      <c r="E137" s="43" t="s">
        <v>560</v>
      </c>
      <c r="F137" s="31" t="str">
        <f t="shared" si="2"/>
        <v/>
      </c>
      <c r="G137" s="35"/>
      <c r="H137" s="31"/>
      <c r="I137" s="156">
        <v>283.30500000000001</v>
      </c>
    </row>
    <row r="138" spans="1:9" x14ac:dyDescent="0.3">
      <c r="A138" s="243"/>
      <c r="B138" s="36" t="s">
        <v>1504</v>
      </c>
      <c r="C138" s="36" t="s">
        <v>292</v>
      </c>
      <c r="D138" s="37">
        <v>1</v>
      </c>
      <c r="E138" s="34">
        <v>6.29</v>
      </c>
      <c r="F138" s="34">
        <f t="shared" si="2"/>
        <v>6.29</v>
      </c>
      <c r="G138" s="45">
        <f>SUM(F138:F140)</f>
        <v>15.943351399999999</v>
      </c>
      <c r="H138" s="46"/>
      <c r="I138" s="156">
        <v>283.30500000000001</v>
      </c>
    </row>
    <row r="139" spans="1:9" x14ac:dyDescent="0.3">
      <c r="A139" s="243"/>
      <c r="B139" s="36" t="s">
        <v>74</v>
      </c>
      <c r="C139" s="36" t="s">
        <v>744</v>
      </c>
      <c r="D139" s="37">
        <v>0.2651</v>
      </c>
      <c r="E139" s="31">
        <v>15.928999999999998</v>
      </c>
      <c r="F139" s="34">
        <f t="shared" si="2"/>
        <v>4.2227778999999996</v>
      </c>
      <c r="G139" s="45"/>
      <c r="H139" s="46"/>
      <c r="I139" s="156">
        <v>283.30500000000001</v>
      </c>
    </row>
    <row r="140" spans="1:9" ht="26.25" customHeight="1" x14ac:dyDescent="0.3">
      <c r="A140" s="243"/>
      <c r="B140" s="36" t="s">
        <v>30</v>
      </c>
      <c r="C140" s="36" t="s">
        <v>744</v>
      </c>
      <c r="D140" s="37">
        <v>0.2651</v>
      </c>
      <c r="E140" s="31">
        <v>20.484999999999999</v>
      </c>
      <c r="F140" s="34">
        <f t="shared" si="2"/>
        <v>5.4305734999999995</v>
      </c>
      <c r="G140" s="45"/>
      <c r="H140" s="46"/>
      <c r="I140" s="156">
        <v>283.30500000000001</v>
      </c>
    </row>
    <row r="141" spans="1:9" ht="15" thickBot="1" x14ac:dyDescent="0.35">
      <c r="A141" s="243"/>
      <c r="B141" s="36" t="s">
        <v>560</v>
      </c>
      <c r="C141" s="36"/>
      <c r="D141" s="93"/>
      <c r="E141" s="31" t="s">
        <v>560</v>
      </c>
      <c r="F141" s="31" t="str">
        <f t="shared" si="2"/>
        <v/>
      </c>
      <c r="G141" s="35"/>
      <c r="H141" s="31"/>
      <c r="I141" s="156">
        <v>283.30500000000001</v>
      </c>
    </row>
    <row r="142" spans="1:9" ht="15" hidden="1" thickBot="1" x14ac:dyDescent="0.35">
      <c r="A142" s="244" t="s">
        <v>1521</v>
      </c>
      <c r="B142" s="41" t="s">
        <v>560</v>
      </c>
      <c r="C142" s="26" t="s">
        <v>515</v>
      </c>
      <c r="D142" s="94"/>
      <c r="E142" s="42" t="s">
        <v>560</v>
      </c>
      <c r="F142" s="42" t="str">
        <f t="shared" si="2"/>
        <v/>
      </c>
      <c r="G142" s="29"/>
      <c r="H142" s="30"/>
      <c r="I142" s="156">
        <v>0</v>
      </c>
    </row>
    <row r="143" spans="1:9" ht="15" hidden="1" thickBot="1" x14ac:dyDescent="0.35">
      <c r="A143" s="243"/>
      <c r="B143" s="32" t="s">
        <v>560</v>
      </c>
      <c r="C143" s="32"/>
      <c r="D143" s="92"/>
      <c r="E143" s="98" t="s">
        <v>560</v>
      </c>
      <c r="F143" s="99" t="str">
        <f t="shared" si="2"/>
        <v/>
      </c>
      <c r="G143" s="35"/>
      <c r="H143" s="31"/>
      <c r="I143" s="156">
        <v>0</v>
      </c>
    </row>
    <row r="144" spans="1:9" ht="27" hidden="1" thickBot="1" x14ac:dyDescent="0.35">
      <c r="A144" s="243"/>
      <c r="B144" s="36" t="s">
        <v>1522</v>
      </c>
      <c r="C144" s="36" t="s">
        <v>292</v>
      </c>
      <c r="D144" s="37">
        <v>0.33300000000000002</v>
      </c>
      <c r="E144" s="34">
        <v>2.4139999999999997</v>
      </c>
      <c r="F144" s="34">
        <f t="shared" si="2"/>
        <v>0.80386199999999997</v>
      </c>
      <c r="G144" s="45">
        <f>SUM(F144:F146)</f>
        <v>2.2765209999999998</v>
      </c>
      <c r="H144" s="46"/>
      <c r="I144" s="156">
        <v>0</v>
      </c>
    </row>
    <row r="145" spans="1:9" ht="15" hidden="1" thickBot="1" x14ac:dyDescent="0.35">
      <c r="A145" s="243"/>
      <c r="B145" s="36" t="s">
        <v>108</v>
      </c>
      <c r="C145" s="36" t="s">
        <v>744</v>
      </c>
      <c r="D145" s="37">
        <v>8.9999999999999993E-3</v>
      </c>
      <c r="E145" s="31">
        <v>15.4955</v>
      </c>
      <c r="F145" s="34">
        <f t="shared" si="2"/>
        <v>0.13945949999999999</v>
      </c>
      <c r="G145" s="45"/>
      <c r="H145" s="46"/>
      <c r="I145" s="156">
        <v>0</v>
      </c>
    </row>
    <row r="146" spans="1:9" ht="15" hidden="1" thickBot="1" x14ac:dyDescent="0.35">
      <c r="A146" s="243"/>
      <c r="B146" s="36" t="s">
        <v>1487</v>
      </c>
      <c r="C146" s="36" t="s">
        <v>744</v>
      </c>
      <c r="D146" s="37">
        <v>6.7000000000000004E-2</v>
      </c>
      <c r="E146" s="31">
        <v>19.898499999999999</v>
      </c>
      <c r="F146" s="34">
        <f t="shared" si="2"/>
        <v>1.3331994999999999</v>
      </c>
      <c r="G146" s="45"/>
      <c r="H146" s="46"/>
      <c r="I146" s="156">
        <v>0</v>
      </c>
    </row>
    <row r="147" spans="1:9" ht="15" hidden="1" thickBot="1" x14ac:dyDescent="0.35">
      <c r="A147" s="243"/>
      <c r="B147" s="36" t="s">
        <v>560</v>
      </c>
      <c r="C147" s="36"/>
      <c r="D147" s="93"/>
      <c r="E147" s="31" t="s">
        <v>560</v>
      </c>
      <c r="F147" s="31" t="str">
        <f t="shared" si="2"/>
        <v/>
      </c>
      <c r="G147" s="35"/>
      <c r="H147" s="31"/>
      <c r="I147" s="156">
        <v>0</v>
      </c>
    </row>
    <row r="148" spans="1:9" ht="15" thickBot="1" x14ac:dyDescent="0.35">
      <c r="A148" s="244" t="s">
        <v>1505</v>
      </c>
      <c r="B148" s="41" t="s">
        <v>560</v>
      </c>
      <c r="C148" s="26" t="s">
        <v>515</v>
      </c>
      <c r="D148" s="94"/>
      <c r="E148" s="42" t="s">
        <v>560</v>
      </c>
      <c r="F148" s="42" t="str">
        <f t="shared" si="2"/>
        <v/>
      </c>
      <c r="G148" s="29"/>
      <c r="H148" s="30"/>
      <c r="I148" s="156">
        <v>1700</v>
      </c>
    </row>
    <row r="149" spans="1:9" x14ac:dyDescent="0.3">
      <c r="A149" s="243"/>
      <c r="B149" s="32" t="s">
        <v>560</v>
      </c>
      <c r="C149" s="32"/>
      <c r="D149" s="92"/>
      <c r="E149" s="43" t="s">
        <v>560</v>
      </c>
      <c r="F149" s="31" t="str">
        <f t="shared" si="2"/>
        <v/>
      </c>
      <c r="G149" s="35"/>
      <c r="H149" s="31"/>
      <c r="I149" s="156">
        <v>1700</v>
      </c>
    </row>
    <row r="150" spans="1:9" ht="26.4" x14ac:dyDescent="0.3">
      <c r="A150" s="243"/>
      <c r="B150" s="36" t="s">
        <v>1506</v>
      </c>
      <c r="C150" s="36" t="s">
        <v>292</v>
      </c>
      <c r="D150" s="37">
        <v>0.33300000000000002</v>
      </c>
      <c r="E150" s="34">
        <v>2.6774999999999998</v>
      </c>
      <c r="F150" s="34">
        <f t="shared" si="2"/>
        <v>0.8916075</v>
      </c>
      <c r="G150" s="45">
        <f>SUM(F150:F152)</f>
        <v>2.3642664999999998</v>
      </c>
      <c r="H150" s="46"/>
      <c r="I150" s="156">
        <v>1700</v>
      </c>
    </row>
    <row r="151" spans="1:9" x14ac:dyDescent="0.3">
      <c r="A151" s="243"/>
      <c r="B151" s="36" t="s">
        <v>108</v>
      </c>
      <c r="C151" s="36" t="s">
        <v>744</v>
      </c>
      <c r="D151" s="37">
        <v>8.9999999999999993E-3</v>
      </c>
      <c r="E151" s="31">
        <v>15.4955</v>
      </c>
      <c r="F151" s="34">
        <f t="shared" si="2"/>
        <v>0.13945949999999999</v>
      </c>
      <c r="G151" s="45"/>
      <c r="H151" s="46"/>
      <c r="I151" s="156">
        <v>1700</v>
      </c>
    </row>
    <row r="152" spans="1:9" x14ac:dyDescent="0.3">
      <c r="A152" s="243"/>
      <c r="B152" s="36" t="s">
        <v>1487</v>
      </c>
      <c r="C152" s="36" t="s">
        <v>744</v>
      </c>
      <c r="D152" s="37">
        <v>6.7000000000000004E-2</v>
      </c>
      <c r="E152" s="31">
        <v>19.898499999999999</v>
      </c>
      <c r="F152" s="34">
        <f t="shared" si="2"/>
        <v>1.3331994999999999</v>
      </c>
      <c r="G152" s="45"/>
      <c r="H152" s="46"/>
      <c r="I152" s="156">
        <v>1700</v>
      </c>
    </row>
    <row r="153" spans="1:9" ht="15" thickBot="1" x14ac:dyDescent="0.35">
      <c r="A153" s="243"/>
      <c r="B153" s="36" t="s">
        <v>560</v>
      </c>
      <c r="C153" s="36"/>
      <c r="D153" s="93"/>
      <c r="E153" s="31" t="s">
        <v>560</v>
      </c>
      <c r="F153" s="31" t="str">
        <f t="shared" si="2"/>
        <v/>
      </c>
      <c r="G153" s="35"/>
      <c r="H153" s="31"/>
      <c r="I153" s="156">
        <v>1700</v>
      </c>
    </row>
    <row r="154" spans="1:9" ht="26.25" customHeight="1" thickBot="1" x14ac:dyDescent="0.35">
      <c r="A154" s="244" t="s">
        <v>167</v>
      </c>
      <c r="B154" s="41" t="s">
        <v>560</v>
      </c>
      <c r="C154" s="26" t="s">
        <v>122</v>
      </c>
      <c r="D154" s="94"/>
      <c r="E154" s="42" t="s">
        <v>560</v>
      </c>
      <c r="F154" s="42" t="str">
        <f t="shared" si="2"/>
        <v/>
      </c>
      <c r="G154" s="29"/>
      <c r="H154" s="30"/>
      <c r="I154" s="156">
        <v>0.48879999999999996</v>
      </c>
    </row>
    <row r="155" spans="1:9" x14ac:dyDescent="0.3">
      <c r="A155" s="243"/>
      <c r="B155" s="32" t="s">
        <v>560</v>
      </c>
      <c r="C155" s="32"/>
      <c r="D155" s="92"/>
      <c r="E155" s="43" t="s">
        <v>560</v>
      </c>
      <c r="F155" s="31" t="str">
        <f t="shared" si="2"/>
        <v/>
      </c>
      <c r="G155" s="35"/>
      <c r="H155" s="31"/>
      <c r="I155" s="156">
        <v>0.48879999999999996</v>
      </c>
    </row>
    <row r="156" spans="1:9" x14ac:dyDescent="0.3">
      <c r="A156" s="243"/>
      <c r="B156" s="36" t="s">
        <v>115</v>
      </c>
      <c r="C156" s="36" t="s">
        <v>122</v>
      </c>
      <c r="D156" s="37">
        <v>1.18</v>
      </c>
      <c r="E156" s="34">
        <v>76.5</v>
      </c>
      <c r="F156" s="34">
        <f t="shared" si="2"/>
        <v>90.27</v>
      </c>
      <c r="G156" s="45">
        <f>SUM(F156:F164)</f>
        <v>420.78064489699995</v>
      </c>
      <c r="H156" s="46"/>
      <c r="I156" s="156">
        <v>0.48879999999999996</v>
      </c>
    </row>
    <row r="157" spans="1:9" x14ac:dyDescent="0.3">
      <c r="A157" s="243"/>
      <c r="B157" s="36" t="s">
        <v>1493</v>
      </c>
      <c r="C157" s="36" t="s">
        <v>939</v>
      </c>
      <c r="D157" s="37">
        <v>157.44</v>
      </c>
      <c r="E157" s="34">
        <v>0.79899999999999993</v>
      </c>
      <c r="F157" s="34">
        <f t="shared" si="2"/>
        <v>125.79455999999999</v>
      </c>
      <c r="G157" s="45"/>
      <c r="H157" s="46"/>
      <c r="I157" s="156">
        <v>0.48879999999999996</v>
      </c>
    </row>
    <row r="158" spans="1:9" x14ac:dyDescent="0.3">
      <c r="A158" s="243"/>
      <c r="B158" s="36" t="s">
        <v>116</v>
      </c>
      <c r="C158" s="36" t="s">
        <v>939</v>
      </c>
      <c r="D158" s="37">
        <v>177.12</v>
      </c>
      <c r="E158" s="34">
        <v>0.46750000000000003</v>
      </c>
      <c r="F158" s="34">
        <f t="shared" si="2"/>
        <v>82.803600000000003</v>
      </c>
      <c r="G158" s="45"/>
      <c r="H158" s="46"/>
      <c r="I158" s="156">
        <v>0.48879999999999996</v>
      </c>
    </row>
    <row r="159" spans="1:9" x14ac:dyDescent="0.3">
      <c r="A159" s="243"/>
      <c r="B159" s="36" t="s">
        <v>1486</v>
      </c>
      <c r="C159" s="36" t="s">
        <v>744</v>
      </c>
      <c r="D159" s="37">
        <v>0.79</v>
      </c>
      <c r="E159" s="31">
        <v>14.968499999999999</v>
      </c>
      <c r="F159" s="34">
        <f t="shared" si="2"/>
        <v>11.825115</v>
      </c>
      <c r="G159" s="45"/>
      <c r="H159" s="46"/>
      <c r="I159" s="156">
        <v>0.48879999999999996</v>
      </c>
    </row>
    <row r="160" spans="1:9" ht="26.4" x14ac:dyDescent="0.3">
      <c r="A160" s="243"/>
      <c r="B160" s="36" t="s">
        <v>118</v>
      </c>
      <c r="C160" s="36" t="s">
        <v>744</v>
      </c>
      <c r="D160" s="37">
        <v>3.65</v>
      </c>
      <c r="E160" s="31">
        <v>15.147</v>
      </c>
      <c r="F160" s="34">
        <f t="shared" si="2"/>
        <v>55.286549999999998</v>
      </c>
      <c r="G160" s="45"/>
      <c r="H160" s="46"/>
      <c r="I160" s="156">
        <v>0.48879999999999996</v>
      </c>
    </row>
    <row r="161" spans="1:9" ht="26.4" x14ac:dyDescent="0.3">
      <c r="A161" s="243"/>
      <c r="B161" s="36" t="s">
        <v>1507</v>
      </c>
      <c r="C161" s="36" t="s">
        <v>983</v>
      </c>
      <c r="D161" s="37">
        <v>0.85</v>
      </c>
      <c r="E161" s="31">
        <v>3.5275000000000003</v>
      </c>
      <c r="F161" s="34">
        <f t="shared" si="2"/>
        <v>2.9983750000000002</v>
      </c>
      <c r="G161" s="45"/>
      <c r="H161" s="46"/>
      <c r="I161" s="156">
        <v>0.48879999999999996</v>
      </c>
    </row>
    <row r="162" spans="1:9" ht="26.4" x14ac:dyDescent="0.3">
      <c r="A162" s="243"/>
      <c r="B162" s="36" t="s">
        <v>1508</v>
      </c>
      <c r="C162" s="36" t="s">
        <v>985</v>
      </c>
      <c r="D162" s="37">
        <v>2.8</v>
      </c>
      <c r="E162" s="31">
        <v>1.1220000000000001</v>
      </c>
      <c r="F162" s="34">
        <f t="shared" si="2"/>
        <v>3.1415999999999999</v>
      </c>
      <c r="G162" s="45"/>
      <c r="H162" s="46"/>
      <c r="I162" s="156">
        <v>0.48879999999999996</v>
      </c>
    </row>
    <row r="163" spans="1:9" ht="52.8" x14ac:dyDescent="0.3">
      <c r="A163" s="243"/>
      <c r="B163" s="36" t="s">
        <v>1931</v>
      </c>
      <c r="C163" s="36" t="s">
        <v>122</v>
      </c>
      <c r="D163" s="37">
        <f>ROUND(1*D156,4)</f>
        <v>1.18</v>
      </c>
      <c r="E163" s="31">
        <v>5.4507091499999989</v>
      </c>
      <c r="F163" s="34">
        <f t="shared" si="2"/>
        <v>6.4318367969999981</v>
      </c>
      <c r="G163" s="45"/>
      <c r="H163" s="46"/>
      <c r="I163" s="156">
        <v>0.48879999999999996</v>
      </c>
    </row>
    <row r="164" spans="1:9" ht="26.4" x14ac:dyDescent="0.3">
      <c r="A164" s="243"/>
      <c r="B164" s="36" t="s">
        <v>1930</v>
      </c>
      <c r="C164" s="47" t="s">
        <v>124</v>
      </c>
      <c r="D164" s="37">
        <f>ROUND(D156*20,4)</f>
        <v>23.6</v>
      </c>
      <c r="E164" s="31">
        <v>1.7893647499999998</v>
      </c>
      <c r="F164" s="34">
        <f t="shared" si="2"/>
        <v>42.229008100000001</v>
      </c>
      <c r="G164" s="45"/>
      <c r="H164" s="46"/>
      <c r="I164" s="156">
        <v>0.48879999999999996</v>
      </c>
    </row>
    <row r="165" spans="1:9" x14ac:dyDescent="0.3">
      <c r="A165" s="243"/>
      <c r="B165" s="51"/>
      <c r="C165" s="47"/>
      <c r="D165" s="37"/>
      <c r="E165" s="31" t="s">
        <v>560</v>
      </c>
      <c r="F165" s="34" t="str">
        <f t="shared" si="2"/>
        <v/>
      </c>
      <c r="G165" s="45"/>
      <c r="H165" s="46"/>
      <c r="I165" s="156">
        <v>0.48879999999999996</v>
      </c>
    </row>
    <row r="166" spans="1:9" ht="15.75" customHeight="1" x14ac:dyDescent="0.3">
      <c r="A166" s="243"/>
      <c r="B166" s="48" t="s">
        <v>796</v>
      </c>
      <c r="C166" s="47"/>
      <c r="D166" s="37"/>
      <c r="E166" s="31" t="s">
        <v>560</v>
      </c>
      <c r="F166" s="34" t="str">
        <f t="shared" si="2"/>
        <v/>
      </c>
      <c r="G166" s="45"/>
      <c r="H166" s="46"/>
      <c r="I166" s="156">
        <v>0.48879999999999996</v>
      </c>
    </row>
    <row r="167" spans="1:9" ht="15" thickBot="1" x14ac:dyDescent="0.35">
      <c r="A167" s="243"/>
      <c r="B167" s="36"/>
      <c r="C167" s="36"/>
      <c r="D167" s="93"/>
      <c r="E167" s="31" t="s">
        <v>560</v>
      </c>
      <c r="F167" s="31" t="str">
        <f t="shared" si="2"/>
        <v/>
      </c>
      <c r="G167" s="35"/>
      <c r="H167" s="31"/>
      <c r="I167" s="156">
        <v>0.48879999999999996</v>
      </c>
    </row>
    <row r="168" spans="1:9" ht="15" hidden="1" thickBot="1" x14ac:dyDescent="0.35">
      <c r="A168" s="244" t="s">
        <v>1411</v>
      </c>
      <c r="B168" s="41" t="s">
        <v>560</v>
      </c>
      <c r="C168" s="26" t="s">
        <v>122</v>
      </c>
      <c r="D168" s="94"/>
      <c r="E168" s="42" t="s">
        <v>560</v>
      </c>
      <c r="F168" s="42" t="str">
        <f t="shared" si="2"/>
        <v/>
      </c>
      <c r="G168" s="29"/>
      <c r="H168" s="30"/>
      <c r="I168" s="156">
        <v>0</v>
      </c>
    </row>
    <row r="169" spans="1:9" ht="15" hidden="1" thickBot="1" x14ac:dyDescent="0.35">
      <c r="A169" s="243"/>
      <c r="B169" s="32" t="s">
        <v>560</v>
      </c>
      <c r="C169" s="32"/>
      <c r="D169" s="92"/>
      <c r="E169" s="43" t="s">
        <v>560</v>
      </c>
      <c r="F169" s="31" t="str">
        <f t="shared" si="2"/>
        <v/>
      </c>
      <c r="G169" s="35"/>
      <c r="H169" s="31"/>
      <c r="I169" s="156">
        <v>0</v>
      </c>
    </row>
    <row r="170" spans="1:9" ht="15" hidden="1" thickBot="1" x14ac:dyDescent="0.35">
      <c r="A170" s="243"/>
      <c r="B170" s="36" t="s">
        <v>115</v>
      </c>
      <c r="C170" s="36" t="s">
        <v>122</v>
      </c>
      <c r="D170" s="37">
        <v>1.36</v>
      </c>
      <c r="E170" s="34">
        <v>76.5</v>
      </c>
      <c r="F170" s="34">
        <f t="shared" si="2"/>
        <v>104.04</v>
      </c>
      <c r="G170" s="45">
        <f>SUM(F170:F176)</f>
        <v>450.971075644</v>
      </c>
      <c r="H170" s="46"/>
      <c r="I170" s="156">
        <v>0</v>
      </c>
    </row>
    <row r="171" spans="1:9" ht="15" hidden="1" thickBot="1" x14ac:dyDescent="0.35">
      <c r="A171" s="243"/>
      <c r="B171" s="36" t="s">
        <v>116</v>
      </c>
      <c r="C171" s="36" t="s">
        <v>939</v>
      </c>
      <c r="D171" s="37">
        <v>459.85</v>
      </c>
      <c r="E171" s="34">
        <v>0.46750000000000003</v>
      </c>
      <c r="F171" s="34">
        <f t="shared" si="2"/>
        <v>214.97987500000002</v>
      </c>
      <c r="G171" s="45"/>
      <c r="H171" s="46"/>
      <c r="I171" s="156">
        <v>0</v>
      </c>
    </row>
    <row r="172" spans="1:9" ht="15.75" hidden="1" customHeight="1" x14ac:dyDescent="0.3">
      <c r="A172" s="243"/>
      <c r="B172" s="36" t="s">
        <v>118</v>
      </c>
      <c r="C172" s="36" t="s">
        <v>744</v>
      </c>
      <c r="D172" s="37">
        <v>4.8499999999999996</v>
      </c>
      <c r="E172" s="31">
        <v>15.147</v>
      </c>
      <c r="F172" s="34">
        <f t="shared" si="2"/>
        <v>73.462949999999992</v>
      </c>
      <c r="G172" s="45"/>
      <c r="H172" s="46"/>
      <c r="I172" s="156">
        <v>0</v>
      </c>
    </row>
    <row r="173" spans="1:9" ht="27" hidden="1" thickBot="1" x14ac:dyDescent="0.35">
      <c r="A173" s="243"/>
      <c r="B173" s="36" t="s">
        <v>1494</v>
      </c>
      <c r="C173" s="36" t="s">
        <v>983</v>
      </c>
      <c r="D173" s="37">
        <v>1.1299999999999999</v>
      </c>
      <c r="E173" s="31">
        <v>1.2324999999999999</v>
      </c>
      <c r="F173" s="34">
        <f t="shared" si="2"/>
        <v>1.3927249999999998</v>
      </c>
      <c r="G173" s="45"/>
      <c r="H173" s="46"/>
      <c r="I173" s="156">
        <v>0</v>
      </c>
    </row>
    <row r="174" spans="1:9" ht="27" hidden="1" thickBot="1" x14ac:dyDescent="0.35">
      <c r="A174" s="243"/>
      <c r="B174" s="36" t="s">
        <v>1495</v>
      </c>
      <c r="C174" s="36" t="s">
        <v>985</v>
      </c>
      <c r="D174" s="37">
        <v>3.72</v>
      </c>
      <c r="E174" s="31">
        <v>0.27200000000000002</v>
      </c>
      <c r="F174" s="34">
        <f t="shared" si="2"/>
        <v>1.0118400000000001</v>
      </c>
      <c r="G174" s="45"/>
      <c r="H174" s="46"/>
      <c r="I174" s="156">
        <v>0</v>
      </c>
    </row>
    <row r="175" spans="1:9" ht="53.4" hidden="1" thickBot="1" x14ac:dyDescent="0.35">
      <c r="A175" s="243"/>
      <c r="B175" s="36" t="s">
        <v>1931</v>
      </c>
      <c r="C175" s="36" t="s">
        <v>122</v>
      </c>
      <c r="D175" s="37">
        <f>ROUND(1*D170,4)</f>
        <v>1.36</v>
      </c>
      <c r="E175" s="31">
        <v>5.4507091499999989</v>
      </c>
      <c r="F175" s="34">
        <f t="shared" si="2"/>
        <v>7.4129644439999991</v>
      </c>
      <c r="G175" s="45"/>
      <c r="H175" s="46"/>
      <c r="I175" s="156">
        <v>0</v>
      </c>
    </row>
    <row r="176" spans="1:9" ht="27" hidden="1" thickBot="1" x14ac:dyDescent="0.35">
      <c r="A176" s="243"/>
      <c r="B176" s="36" t="s">
        <v>1930</v>
      </c>
      <c r="C176" s="47" t="s">
        <v>124</v>
      </c>
      <c r="D176" s="37">
        <f>ROUND(D170*20,4)</f>
        <v>27.2</v>
      </c>
      <c r="E176" s="31">
        <v>1.7893647499999998</v>
      </c>
      <c r="F176" s="34">
        <f t="shared" si="2"/>
        <v>48.670721199999996</v>
      </c>
      <c r="G176" s="45"/>
      <c r="H176" s="46"/>
      <c r="I176" s="156">
        <v>0</v>
      </c>
    </row>
    <row r="177" spans="1:9" ht="15" hidden="1" thickBot="1" x14ac:dyDescent="0.35">
      <c r="A177" s="243"/>
      <c r="B177" s="51"/>
      <c r="C177" s="47"/>
      <c r="D177" s="37"/>
      <c r="E177" s="31" t="s">
        <v>560</v>
      </c>
      <c r="F177" s="34" t="str">
        <f t="shared" si="2"/>
        <v/>
      </c>
      <c r="G177" s="45"/>
      <c r="H177" s="46"/>
      <c r="I177" s="156">
        <v>0</v>
      </c>
    </row>
    <row r="178" spans="1:9" ht="15.75" hidden="1" customHeight="1" x14ac:dyDescent="0.3">
      <c r="A178" s="243"/>
      <c r="B178" s="48" t="s">
        <v>796</v>
      </c>
      <c r="C178" s="47"/>
      <c r="D178" s="37"/>
      <c r="E178" s="31" t="s">
        <v>560</v>
      </c>
      <c r="F178" s="34" t="str">
        <f t="shared" si="2"/>
        <v/>
      </c>
      <c r="G178" s="45"/>
      <c r="H178" s="46"/>
      <c r="I178" s="156">
        <v>0</v>
      </c>
    </row>
    <row r="179" spans="1:9" ht="15" hidden="1" thickBot="1" x14ac:dyDescent="0.35">
      <c r="A179" s="243"/>
      <c r="B179" s="36"/>
      <c r="C179" s="36"/>
      <c r="D179" s="93"/>
      <c r="E179" s="31" t="s">
        <v>560</v>
      </c>
      <c r="F179" s="31" t="str">
        <f t="shared" si="2"/>
        <v/>
      </c>
      <c r="G179" s="35"/>
      <c r="H179" s="31"/>
      <c r="I179" s="156">
        <v>0</v>
      </c>
    </row>
    <row r="180" spans="1:9" ht="15" thickBot="1" x14ac:dyDescent="0.35">
      <c r="A180" s="244" t="s">
        <v>986</v>
      </c>
      <c r="B180" s="41" t="s">
        <v>560</v>
      </c>
      <c r="C180" s="26" t="s">
        <v>122</v>
      </c>
      <c r="D180" s="94"/>
      <c r="E180" s="42" t="s">
        <v>560</v>
      </c>
      <c r="F180" s="42" t="str">
        <f t="shared" si="2"/>
        <v/>
      </c>
      <c r="G180" s="29"/>
      <c r="H180" s="30"/>
      <c r="I180" s="156">
        <v>95.52</v>
      </c>
    </row>
    <row r="181" spans="1:9" x14ac:dyDescent="0.3">
      <c r="A181" s="243"/>
      <c r="B181" s="32" t="s">
        <v>560</v>
      </c>
      <c r="C181" s="32"/>
      <c r="D181" s="92"/>
      <c r="E181" s="43" t="s">
        <v>560</v>
      </c>
      <c r="F181" s="31" t="str">
        <f t="shared" si="2"/>
        <v/>
      </c>
      <c r="G181" s="35"/>
      <c r="H181" s="31"/>
      <c r="I181" s="156">
        <v>95.52</v>
      </c>
    </row>
    <row r="182" spans="1:9" ht="52.8" x14ac:dyDescent="0.3">
      <c r="A182" s="243"/>
      <c r="B182" s="36" t="s">
        <v>988</v>
      </c>
      <c r="C182" s="36" t="s">
        <v>983</v>
      </c>
      <c r="D182" s="37">
        <v>6.0000000000000001E-3</v>
      </c>
      <c r="E182" s="34">
        <v>191.51349999999999</v>
      </c>
      <c r="F182" s="34">
        <f t="shared" si="2"/>
        <v>1.149081</v>
      </c>
      <c r="G182" s="45">
        <f>SUM(F182:F184)</f>
        <v>1.3896225</v>
      </c>
      <c r="H182" s="46"/>
      <c r="I182" s="156">
        <v>95.52</v>
      </c>
    </row>
    <row r="183" spans="1:9" ht="52.8" x14ac:dyDescent="0.3">
      <c r="A183" s="243"/>
      <c r="B183" s="36" t="s">
        <v>989</v>
      </c>
      <c r="C183" s="36" t="s">
        <v>985</v>
      </c>
      <c r="D183" s="37">
        <v>3.0000000000000001E-3</v>
      </c>
      <c r="E183" s="34">
        <v>35.274999999999999</v>
      </c>
      <c r="F183" s="34">
        <f t="shared" si="2"/>
        <v>0.105825</v>
      </c>
      <c r="G183" s="45"/>
      <c r="H183" s="46"/>
      <c r="I183" s="156">
        <v>95.52</v>
      </c>
    </row>
    <row r="184" spans="1:9" ht="15.75" customHeight="1" x14ac:dyDescent="0.3">
      <c r="A184" s="243"/>
      <c r="B184" s="36" t="s">
        <v>745</v>
      </c>
      <c r="C184" s="36" t="s">
        <v>744</v>
      </c>
      <c r="D184" s="37">
        <v>8.9999999999999993E-3</v>
      </c>
      <c r="E184" s="34">
        <v>14.968499999999999</v>
      </c>
      <c r="F184" s="34">
        <f t="shared" si="2"/>
        <v>0.13471649999999999</v>
      </c>
      <c r="G184" s="45"/>
      <c r="H184" s="46"/>
      <c r="I184" s="156">
        <v>95.52</v>
      </c>
    </row>
    <row r="185" spans="1:9" ht="15" thickBot="1" x14ac:dyDescent="0.35">
      <c r="A185" s="243"/>
      <c r="B185" s="36"/>
      <c r="C185" s="36"/>
      <c r="D185" s="93"/>
      <c r="E185" s="31" t="s">
        <v>560</v>
      </c>
      <c r="F185" s="31" t="str">
        <f t="shared" si="2"/>
        <v/>
      </c>
      <c r="G185" s="35"/>
      <c r="H185" s="31"/>
      <c r="I185" s="156">
        <v>95.52</v>
      </c>
    </row>
    <row r="186" spans="1:9" ht="15" thickBot="1" x14ac:dyDescent="0.35">
      <c r="A186" s="244" t="s">
        <v>943</v>
      </c>
      <c r="B186" s="41" t="s">
        <v>560</v>
      </c>
      <c r="C186" s="26" t="s">
        <v>939</v>
      </c>
      <c r="D186" s="94"/>
      <c r="E186" s="42" t="s">
        <v>560</v>
      </c>
      <c r="F186" s="42" t="str">
        <f t="shared" si="2"/>
        <v/>
      </c>
      <c r="G186" s="29"/>
      <c r="H186" s="30"/>
      <c r="I186" s="156">
        <v>3415.18</v>
      </c>
    </row>
    <row r="187" spans="1:9" x14ac:dyDescent="0.3">
      <c r="A187" s="243"/>
      <c r="B187" s="32" t="s">
        <v>560</v>
      </c>
      <c r="C187" s="32"/>
      <c r="D187" s="92"/>
      <c r="E187" s="43" t="s">
        <v>560</v>
      </c>
      <c r="F187" s="31" t="str">
        <f t="shared" si="2"/>
        <v/>
      </c>
      <c r="G187" s="35"/>
      <c r="H187" s="31"/>
      <c r="I187" s="156">
        <v>3415.18</v>
      </c>
    </row>
    <row r="188" spans="1:9" x14ac:dyDescent="0.3">
      <c r="A188" s="243"/>
      <c r="B188" s="36" t="s">
        <v>810</v>
      </c>
      <c r="C188" s="36" t="s">
        <v>939</v>
      </c>
      <c r="D188" s="37">
        <v>1.1100000000000001</v>
      </c>
      <c r="E188" s="34">
        <v>10.9735</v>
      </c>
      <c r="F188" s="34">
        <f t="shared" si="2"/>
        <v>12.180585000000001</v>
      </c>
      <c r="G188" s="45">
        <f>SUM(F188:F190)</f>
        <v>12.683513000000001</v>
      </c>
      <c r="H188" s="46"/>
      <c r="I188" s="156">
        <v>3415.18</v>
      </c>
    </row>
    <row r="189" spans="1:9" ht="15.75" customHeight="1" x14ac:dyDescent="0.3">
      <c r="A189" s="243"/>
      <c r="B189" s="36" t="s">
        <v>941</v>
      </c>
      <c r="C189" s="36" t="s">
        <v>744</v>
      </c>
      <c r="D189" s="37">
        <v>3.2000000000000002E-3</v>
      </c>
      <c r="E189" s="34">
        <v>15.674000000000001</v>
      </c>
      <c r="F189" s="34">
        <f t="shared" si="2"/>
        <v>5.0156800000000008E-2</v>
      </c>
      <c r="G189" s="45"/>
      <c r="H189" s="46"/>
      <c r="I189" s="156">
        <v>3415.18</v>
      </c>
    </row>
    <row r="190" spans="1:9" x14ac:dyDescent="0.3">
      <c r="A190" s="243"/>
      <c r="B190" s="36" t="s">
        <v>942</v>
      </c>
      <c r="C190" s="36" t="s">
        <v>744</v>
      </c>
      <c r="D190" s="37">
        <v>2.24E-2</v>
      </c>
      <c r="E190" s="34">
        <v>20.213000000000001</v>
      </c>
      <c r="F190" s="34">
        <f t="shared" si="2"/>
        <v>0.45277120000000004</v>
      </c>
      <c r="G190" s="45"/>
      <c r="H190" s="46"/>
      <c r="I190" s="156">
        <v>3415.18</v>
      </c>
    </row>
    <row r="191" spans="1:9" ht="15" thickBot="1" x14ac:dyDescent="0.35">
      <c r="A191" s="243"/>
      <c r="B191" s="36" t="s">
        <v>560</v>
      </c>
      <c r="C191" s="36"/>
      <c r="D191" s="93"/>
      <c r="E191" s="31" t="s">
        <v>560</v>
      </c>
      <c r="F191" s="31" t="str">
        <f t="shared" si="2"/>
        <v/>
      </c>
      <c r="G191" s="35"/>
      <c r="H191" s="31"/>
      <c r="I191" s="156">
        <v>3415.18</v>
      </c>
    </row>
    <row r="192" spans="1:9" ht="15" thickBot="1" x14ac:dyDescent="0.35">
      <c r="A192" s="244" t="s">
        <v>976</v>
      </c>
      <c r="B192" s="41" t="s">
        <v>560</v>
      </c>
      <c r="C192" s="26" t="s">
        <v>939</v>
      </c>
      <c r="D192" s="94"/>
      <c r="E192" s="42" t="s">
        <v>560</v>
      </c>
      <c r="F192" s="42" t="str">
        <f t="shared" si="2"/>
        <v/>
      </c>
      <c r="G192" s="29"/>
      <c r="H192" s="30"/>
      <c r="I192" s="156">
        <v>3199.45</v>
      </c>
    </row>
    <row r="193" spans="1:9" ht="15.75" customHeight="1" x14ac:dyDescent="0.3">
      <c r="A193" s="243"/>
      <c r="B193" s="32" t="s">
        <v>560</v>
      </c>
      <c r="C193" s="32"/>
      <c r="D193" s="92"/>
      <c r="E193" s="43" t="s">
        <v>560</v>
      </c>
      <c r="F193" s="31" t="str">
        <f t="shared" si="2"/>
        <v/>
      </c>
      <c r="G193" s="35"/>
      <c r="H193" s="31"/>
      <c r="I193" s="156">
        <v>3199.45</v>
      </c>
    </row>
    <row r="194" spans="1:9" x14ac:dyDescent="0.3">
      <c r="A194" s="243"/>
      <c r="B194" s="36" t="s">
        <v>814</v>
      </c>
      <c r="C194" s="36" t="s">
        <v>939</v>
      </c>
      <c r="D194" s="37">
        <v>1.1100000000000001</v>
      </c>
      <c r="E194" s="34">
        <v>8.9589999999999996</v>
      </c>
      <c r="F194" s="34">
        <f t="shared" si="2"/>
        <v>9.9444900000000001</v>
      </c>
      <c r="G194" s="45">
        <f>SUM(F194:F196)</f>
        <v>10.101655000000001</v>
      </c>
      <c r="H194" s="46"/>
      <c r="I194" s="156">
        <v>3199.45</v>
      </c>
    </row>
    <row r="195" spans="1:9" x14ac:dyDescent="0.3">
      <c r="A195" s="243"/>
      <c r="B195" s="36" t="s">
        <v>941</v>
      </c>
      <c r="C195" s="36" t="s">
        <v>744</v>
      </c>
      <c r="D195" s="37">
        <v>1E-3</v>
      </c>
      <c r="E195" s="34">
        <v>15.674000000000001</v>
      </c>
      <c r="F195" s="34">
        <f t="shared" si="2"/>
        <v>1.5674E-2</v>
      </c>
      <c r="G195" s="45"/>
      <c r="H195" s="46"/>
      <c r="I195" s="156">
        <v>3199.45</v>
      </c>
    </row>
    <row r="196" spans="1:9" x14ac:dyDescent="0.3">
      <c r="A196" s="243"/>
      <c r="B196" s="36" t="s">
        <v>942</v>
      </c>
      <c r="C196" s="36" t="s">
        <v>744</v>
      </c>
      <c r="D196" s="37">
        <v>7.0000000000000001E-3</v>
      </c>
      <c r="E196" s="34">
        <v>20.213000000000001</v>
      </c>
      <c r="F196" s="34">
        <f t="shared" si="2"/>
        <v>0.14149100000000001</v>
      </c>
      <c r="G196" s="45"/>
      <c r="H196" s="46"/>
      <c r="I196" s="156">
        <v>3199.45</v>
      </c>
    </row>
    <row r="197" spans="1:9" ht="15" thickBot="1" x14ac:dyDescent="0.35">
      <c r="A197" s="243"/>
      <c r="B197" s="36" t="s">
        <v>560</v>
      </c>
      <c r="C197" s="36"/>
      <c r="D197" s="93"/>
      <c r="E197" s="31" t="s">
        <v>560</v>
      </c>
      <c r="F197" s="31" t="str">
        <f t="shared" si="2"/>
        <v/>
      </c>
      <c r="G197" s="35"/>
      <c r="H197" s="31"/>
      <c r="I197" s="156">
        <v>3199.45</v>
      </c>
    </row>
    <row r="198" spans="1:9" ht="15" thickBot="1" x14ac:dyDescent="0.35">
      <c r="A198" s="244" t="s">
        <v>978</v>
      </c>
      <c r="B198" s="41" t="s">
        <v>560</v>
      </c>
      <c r="C198" s="26" t="s">
        <v>939</v>
      </c>
      <c r="D198" s="94"/>
      <c r="E198" s="42" t="s">
        <v>560</v>
      </c>
      <c r="F198" s="42" t="str">
        <f t="shared" ref="F198:F261" si="3">IF(ISNUMBER(E198),E198*$D198,"")</f>
        <v/>
      </c>
      <c r="G198" s="29"/>
      <c r="H198" s="30"/>
      <c r="I198" s="156">
        <v>712.55</v>
      </c>
    </row>
    <row r="199" spans="1:9" x14ac:dyDescent="0.3">
      <c r="A199" s="243"/>
      <c r="B199" s="32" t="s">
        <v>560</v>
      </c>
      <c r="C199" s="32"/>
      <c r="D199" s="92"/>
      <c r="E199" s="43" t="s">
        <v>560</v>
      </c>
      <c r="F199" s="31" t="str">
        <f t="shared" si="3"/>
        <v/>
      </c>
      <c r="G199" s="35"/>
      <c r="H199" s="31"/>
      <c r="I199" s="156">
        <v>712.55</v>
      </c>
    </row>
    <row r="200" spans="1:9" x14ac:dyDescent="0.3">
      <c r="A200" s="243"/>
      <c r="B200" s="36" t="s">
        <v>1509</v>
      </c>
      <c r="C200" s="36" t="s">
        <v>939</v>
      </c>
      <c r="D200" s="37">
        <v>1.1399999999999999</v>
      </c>
      <c r="E200" s="34">
        <v>10.327500000000001</v>
      </c>
      <c r="F200" s="34">
        <f t="shared" si="3"/>
        <v>11.773349999999999</v>
      </c>
      <c r="G200" s="45">
        <f>SUM(F200:F201)</f>
        <v>11.813775999999999</v>
      </c>
      <c r="H200" s="46"/>
      <c r="I200" s="156">
        <v>712.55</v>
      </c>
    </row>
    <row r="201" spans="1:9" ht="15.75" customHeight="1" x14ac:dyDescent="0.3">
      <c r="A201" s="243"/>
      <c r="B201" s="36" t="s">
        <v>942</v>
      </c>
      <c r="C201" s="36" t="s">
        <v>744</v>
      </c>
      <c r="D201" s="37">
        <v>2E-3</v>
      </c>
      <c r="E201" s="34">
        <v>20.213000000000001</v>
      </c>
      <c r="F201" s="34">
        <f t="shared" si="3"/>
        <v>4.0426000000000004E-2</v>
      </c>
      <c r="G201" s="45"/>
      <c r="H201" s="46"/>
      <c r="I201" s="156">
        <v>712.55</v>
      </c>
    </row>
    <row r="202" spans="1:9" ht="15" thickBot="1" x14ac:dyDescent="0.35">
      <c r="A202" s="243"/>
      <c r="B202" s="36" t="s">
        <v>560</v>
      </c>
      <c r="C202" s="36"/>
      <c r="D202" s="93"/>
      <c r="E202" s="31" t="s">
        <v>560</v>
      </c>
      <c r="F202" s="31" t="str">
        <f t="shared" si="3"/>
        <v/>
      </c>
      <c r="G202" s="35"/>
      <c r="H202" s="31"/>
      <c r="I202" s="156">
        <v>712.55</v>
      </c>
    </row>
    <row r="203" spans="1:9" ht="15" hidden="1" thickBot="1" x14ac:dyDescent="0.35">
      <c r="A203" s="244" t="s">
        <v>1029</v>
      </c>
      <c r="B203" s="41" t="s">
        <v>560</v>
      </c>
      <c r="C203" s="26" t="s">
        <v>1030</v>
      </c>
      <c r="D203" s="94"/>
      <c r="E203" s="42" t="s">
        <v>560</v>
      </c>
      <c r="F203" s="42" t="str">
        <f t="shared" si="3"/>
        <v/>
      </c>
      <c r="G203" s="29"/>
      <c r="H203" s="30"/>
      <c r="I203" s="156">
        <v>0</v>
      </c>
    </row>
    <row r="204" spans="1:9" ht="15" hidden="1" thickBot="1" x14ac:dyDescent="0.35">
      <c r="A204" s="243"/>
      <c r="B204" s="32" t="s">
        <v>560</v>
      </c>
      <c r="C204" s="32"/>
      <c r="D204" s="92"/>
      <c r="E204" s="43" t="s">
        <v>560</v>
      </c>
      <c r="F204" s="31" t="str">
        <f t="shared" si="3"/>
        <v/>
      </c>
      <c r="G204" s="35"/>
      <c r="H204" s="31"/>
      <c r="I204" s="156">
        <v>0</v>
      </c>
    </row>
    <row r="205" spans="1:9" ht="15" hidden="1" thickBot="1" x14ac:dyDescent="0.35">
      <c r="A205" s="243"/>
      <c r="B205" s="36" t="s">
        <v>745</v>
      </c>
      <c r="C205" s="36" t="s">
        <v>744</v>
      </c>
      <c r="D205" s="37">
        <v>0.61180000000000001</v>
      </c>
      <c r="E205" s="34">
        <v>14.968499999999999</v>
      </c>
      <c r="F205" s="34">
        <f t="shared" si="3"/>
        <v>9.1577282999999987</v>
      </c>
      <c r="G205" s="45">
        <f>SUM(F205:F205)</f>
        <v>9.1577282999999987</v>
      </c>
      <c r="H205" s="46"/>
      <c r="I205" s="156">
        <v>0</v>
      </c>
    </row>
    <row r="206" spans="1:9" ht="15.75" hidden="1" customHeight="1" thickBot="1" x14ac:dyDescent="0.35">
      <c r="A206" s="245"/>
      <c r="B206" s="55" t="s">
        <v>560</v>
      </c>
      <c r="C206" s="55"/>
      <c r="D206" s="96"/>
      <c r="E206" s="67" t="s">
        <v>560</v>
      </c>
      <c r="F206" s="67" t="str">
        <f t="shared" si="3"/>
        <v/>
      </c>
      <c r="G206" s="69"/>
      <c r="H206" s="31"/>
      <c r="I206" s="156">
        <v>0</v>
      </c>
    </row>
    <row r="207" spans="1:9" ht="15" thickBot="1" x14ac:dyDescent="0.35">
      <c r="A207" s="244" t="s">
        <v>114</v>
      </c>
      <c r="B207" s="41" t="s">
        <v>560</v>
      </c>
      <c r="C207" s="26" t="s">
        <v>122</v>
      </c>
      <c r="D207" s="94"/>
      <c r="E207" s="42" t="s">
        <v>560</v>
      </c>
      <c r="F207" s="42" t="str">
        <f t="shared" si="3"/>
        <v/>
      </c>
      <c r="G207" s="29"/>
      <c r="H207" s="30"/>
      <c r="I207" s="156">
        <v>5.07</v>
      </c>
    </row>
    <row r="208" spans="1:9" x14ac:dyDescent="0.3">
      <c r="A208" s="243"/>
      <c r="B208" s="32" t="s">
        <v>560</v>
      </c>
      <c r="C208" s="32"/>
      <c r="D208" s="92"/>
      <c r="E208" s="43" t="s">
        <v>560</v>
      </c>
      <c r="F208" s="31" t="str">
        <f t="shared" si="3"/>
        <v/>
      </c>
      <c r="G208" s="35"/>
      <c r="H208" s="31"/>
      <c r="I208" s="156">
        <v>5.07</v>
      </c>
    </row>
    <row r="209" spans="1:9" x14ac:dyDescent="0.3">
      <c r="A209" s="243"/>
      <c r="B209" s="36" t="s">
        <v>78</v>
      </c>
      <c r="C209" s="36" t="s">
        <v>12</v>
      </c>
      <c r="D209" s="37">
        <v>1.8460000000000001</v>
      </c>
      <c r="E209" s="34">
        <v>20.128</v>
      </c>
      <c r="F209" s="34">
        <f t="shared" si="3"/>
        <v>37.156288000000004</v>
      </c>
      <c r="G209" s="45">
        <f>SUM(F209:F213)</f>
        <v>158.87494500000003</v>
      </c>
      <c r="H209" s="46"/>
      <c r="I209" s="156">
        <v>5.07</v>
      </c>
    </row>
    <row r="210" spans="1:9" x14ac:dyDescent="0.3">
      <c r="A210" s="243"/>
      <c r="B210" s="36" t="s">
        <v>22</v>
      </c>
      <c r="C210" s="36" t="s">
        <v>12</v>
      </c>
      <c r="D210" s="37">
        <v>1.8460000000000001</v>
      </c>
      <c r="E210" s="34">
        <v>20.314999999999998</v>
      </c>
      <c r="F210" s="34">
        <f t="shared" si="3"/>
        <v>37.501489999999997</v>
      </c>
      <c r="G210" s="45"/>
      <c r="H210" s="46"/>
      <c r="I210" s="156">
        <v>5.07</v>
      </c>
    </row>
    <row r="211" spans="1:9" ht="15.75" customHeight="1" x14ac:dyDescent="0.3">
      <c r="A211" s="243"/>
      <c r="B211" s="36" t="s">
        <v>23</v>
      </c>
      <c r="C211" s="36" t="s">
        <v>12</v>
      </c>
      <c r="D211" s="37">
        <f>5.538</f>
        <v>5.5380000000000003</v>
      </c>
      <c r="E211" s="31">
        <v>14.968499999999999</v>
      </c>
      <c r="F211" s="34">
        <f t="shared" si="3"/>
        <v>82.895552999999992</v>
      </c>
      <c r="G211" s="45"/>
      <c r="H211" s="46"/>
      <c r="I211" s="156">
        <v>5.07</v>
      </c>
    </row>
    <row r="212" spans="1:9" ht="26.4" x14ac:dyDescent="0.3">
      <c r="A212" s="243"/>
      <c r="B212" s="36" t="s">
        <v>1510</v>
      </c>
      <c r="C212" s="47" t="s">
        <v>33</v>
      </c>
      <c r="D212" s="37">
        <v>0.67200000000000004</v>
      </c>
      <c r="E212" s="31">
        <v>1.343</v>
      </c>
      <c r="F212" s="95">
        <f t="shared" si="3"/>
        <v>0.90249600000000008</v>
      </c>
      <c r="G212" s="45"/>
      <c r="H212" s="46"/>
      <c r="I212" s="156">
        <v>5.07</v>
      </c>
    </row>
    <row r="213" spans="1:9" ht="26.4" x14ac:dyDescent="0.3">
      <c r="A213" s="243"/>
      <c r="B213" s="36" t="s">
        <v>1511</v>
      </c>
      <c r="C213" s="47" t="s">
        <v>35</v>
      </c>
      <c r="D213" s="37">
        <v>1.1739999999999999</v>
      </c>
      <c r="E213" s="31">
        <v>0.35699999999999998</v>
      </c>
      <c r="F213" s="95">
        <f t="shared" si="3"/>
        <v>0.41911799999999994</v>
      </c>
      <c r="G213" s="45"/>
      <c r="H213" s="46"/>
      <c r="I213" s="156">
        <v>5.07</v>
      </c>
    </row>
    <row r="214" spans="1:9" ht="15" thickBot="1" x14ac:dyDescent="0.35">
      <c r="A214" s="243"/>
      <c r="B214" s="36"/>
      <c r="C214" s="36"/>
      <c r="D214" s="93"/>
      <c r="E214" s="31" t="s">
        <v>560</v>
      </c>
      <c r="F214" s="31" t="str">
        <f t="shared" si="3"/>
        <v/>
      </c>
      <c r="G214" s="35"/>
      <c r="H214" s="31"/>
      <c r="I214" s="156">
        <v>5.07</v>
      </c>
    </row>
    <row r="215" spans="1:9" ht="15" thickBot="1" x14ac:dyDescent="0.35">
      <c r="A215" s="244" t="s">
        <v>1930</v>
      </c>
      <c r="B215" s="41" t="s">
        <v>560</v>
      </c>
      <c r="C215" s="26" t="s">
        <v>124</v>
      </c>
      <c r="D215" s="94"/>
      <c r="E215" s="42" t="s">
        <v>560</v>
      </c>
      <c r="F215" s="42" t="str">
        <f t="shared" si="3"/>
        <v/>
      </c>
      <c r="G215" s="29"/>
      <c r="H215" s="30"/>
      <c r="I215" s="156">
        <v>19238.666999999998</v>
      </c>
    </row>
    <row r="216" spans="1:9" x14ac:dyDescent="0.3">
      <c r="A216" s="243"/>
      <c r="B216" s="32" t="s">
        <v>560</v>
      </c>
      <c r="C216" s="32"/>
      <c r="D216" s="92"/>
      <c r="E216" s="43" t="s">
        <v>560</v>
      </c>
      <c r="F216" s="31" t="str">
        <f t="shared" si="3"/>
        <v/>
      </c>
      <c r="G216" s="35"/>
      <c r="H216" s="31"/>
      <c r="I216" s="156">
        <v>19238.666999999998</v>
      </c>
    </row>
    <row r="217" spans="1:9" ht="52.8" x14ac:dyDescent="0.3">
      <c r="A217" s="243"/>
      <c r="B217" s="36" t="s">
        <v>1120</v>
      </c>
      <c r="C217" s="36" t="s">
        <v>983</v>
      </c>
      <c r="D217" s="37">
        <v>1.3899999999999999E-2</v>
      </c>
      <c r="E217" s="34">
        <v>114.28249999999998</v>
      </c>
      <c r="F217" s="34">
        <f t="shared" si="3"/>
        <v>1.5885267499999998</v>
      </c>
      <c r="G217" s="45">
        <f>SUM(F217:F218)</f>
        <v>1.7893647499999998</v>
      </c>
      <c r="H217" s="46"/>
      <c r="I217" s="156">
        <v>19238.666999999998</v>
      </c>
    </row>
    <row r="218" spans="1:9" ht="52.8" x14ac:dyDescent="0.3">
      <c r="A218" s="243"/>
      <c r="B218" s="36" t="s">
        <v>1121</v>
      </c>
      <c r="C218" s="36" t="s">
        <v>985</v>
      </c>
      <c r="D218" s="37">
        <v>6.0000000000000001E-3</v>
      </c>
      <c r="E218" s="34">
        <v>33.472999999999999</v>
      </c>
      <c r="F218" s="34">
        <f t="shared" si="3"/>
        <v>0.20083799999999999</v>
      </c>
      <c r="G218" s="45"/>
      <c r="H218" s="46"/>
      <c r="I218" s="156">
        <v>19238.666999999998</v>
      </c>
    </row>
    <row r="219" spans="1:9" ht="15" thickBot="1" x14ac:dyDescent="0.35">
      <c r="A219" s="245"/>
      <c r="B219" s="55" t="s">
        <v>560</v>
      </c>
      <c r="C219" s="55"/>
      <c r="D219" s="96"/>
      <c r="E219" s="67" t="s">
        <v>560</v>
      </c>
      <c r="F219" s="67" t="str">
        <f t="shared" si="3"/>
        <v/>
      </c>
      <c r="G219" s="69"/>
      <c r="H219" s="31"/>
      <c r="I219" s="156">
        <v>19238.666999999998</v>
      </c>
    </row>
    <row r="220" spans="1:9" ht="15" thickBot="1" x14ac:dyDescent="0.35">
      <c r="A220" s="244" t="s">
        <v>1928</v>
      </c>
      <c r="B220" s="41" t="s">
        <v>560</v>
      </c>
      <c r="C220" s="26" t="s">
        <v>795</v>
      </c>
      <c r="D220" s="94"/>
      <c r="E220" s="42" t="s">
        <v>560</v>
      </c>
      <c r="F220" s="42" t="str">
        <f t="shared" si="3"/>
        <v/>
      </c>
      <c r="G220" s="29"/>
      <c r="H220" s="30"/>
      <c r="I220" s="156">
        <v>6</v>
      </c>
    </row>
    <row r="221" spans="1:9" x14ac:dyDescent="0.3">
      <c r="A221" s="243"/>
      <c r="B221" s="32" t="s">
        <v>560</v>
      </c>
      <c r="C221" s="32"/>
      <c r="D221" s="92"/>
      <c r="E221" s="43" t="s">
        <v>560</v>
      </c>
      <c r="F221" s="31" t="str">
        <f t="shared" si="3"/>
        <v/>
      </c>
      <c r="G221" s="35"/>
      <c r="H221" s="31"/>
      <c r="I221" s="156">
        <v>6</v>
      </c>
    </row>
    <row r="222" spans="1:9" ht="52.8" x14ac:dyDescent="0.3">
      <c r="A222" s="243"/>
      <c r="B222" s="36" t="s">
        <v>1120</v>
      </c>
      <c r="C222" s="36" t="s">
        <v>983</v>
      </c>
      <c r="D222" s="37">
        <v>9.2999999999999992E-3</v>
      </c>
      <c r="E222" s="34">
        <v>114.28249999999998</v>
      </c>
      <c r="F222" s="34">
        <f t="shared" si="3"/>
        <v>1.0628272499999998</v>
      </c>
      <c r="G222" s="45">
        <f>SUM(F222:F223)</f>
        <v>1.1967192499999997</v>
      </c>
      <c r="H222" s="46"/>
      <c r="I222" s="156">
        <v>6</v>
      </c>
    </row>
    <row r="223" spans="1:9" ht="52.8" x14ac:dyDescent="0.3">
      <c r="A223" s="243"/>
      <c r="B223" s="36" t="s">
        <v>1121</v>
      </c>
      <c r="C223" s="36" t="s">
        <v>985</v>
      </c>
      <c r="D223" s="37">
        <v>4.0000000000000001E-3</v>
      </c>
      <c r="E223" s="34">
        <v>33.472999999999999</v>
      </c>
      <c r="F223" s="34">
        <f t="shared" si="3"/>
        <v>0.13389200000000001</v>
      </c>
      <c r="G223" s="45"/>
      <c r="H223" s="46"/>
      <c r="I223" s="156">
        <v>6</v>
      </c>
    </row>
    <row r="224" spans="1:9" ht="15" thickBot="1" x14ac:dyDescent="0.35">
      <c r="A224" s="245"/>
      <c r="B224" s="55" t="s">
        <v>560</v>
      </c>
      <c r="C224" s="55"/>
      <c r="D224" s="96"/>
      <c r="E224" s="67" t="s">
        <v>560</v>
      </c>
      <c r="F224" s="67" t="str">
        <f t="shared" si="3"/>
        <v/>
      </c>
      <c r="G224" s="69"/>
      <c r="H224" s="31"/>
      <c r="I224" s="156">
        <v>6</v>
      </c>
    </row>
    <row r="225" spans="1:9" ht="15.75" customHeight="1" thickBot="1" x14ac:dyDescent="0.35">
      <c r="A225" s="244" t="s">
        <v>1116</v>
      </c>
      <c r="B225" s="41" t="s">
        <v>560</v>
      </c>
      <c r="C225" s="26" t="s">
        <v>122</v>
      </c>
      <c r="D225" s="94"/>
      <c r="E225" s="42" t="s">
        <v>560</v>
      </c>
      <c r="F225" s="42" t="str">
        <f t="shared" si="3"/>
        <v/>
      </c>
      <c r="G225" s="29"/>
      <c r="H225" s="30"/>
      <c r="I225" s="156">
        <v>0.3256</v>
      </c>
    </row>
    <row r="226" spans="1:9" x14ac:dyDescent="0.3">
      <c r="A226" s="243"/>
      <c r="B226" s="32" t="s">
        <v>560</v>
      </c>
      <c r="C226" s="32"/>
      <c r="D226" s="92"/>
      <c r="E226" s="43" t="s">
        <v>560</v>
      </c>
      <c r="F226" s="31" t="str">
        <f t="shared" si="3"/>
        <v/>
      </c>
      <c r="G226" s="35"/>
      <c r="H226" s="31"/>
      <c r="I226" s="156">
        <v>0.3256</v>
      </c>
    </row>
    <row r="227" spans="1:9" ht="26.4" x14ac:dyDescent="0.3">
      <c r="A227" s="243"/>
      <c r="B227" s="36" t="s">
        <v>793</v>
      </c>
      <c r="C227" s="36" t="s">
        <v>122</v>
      </c>
      <c r="D227" s="37">
        <v>0.76100000000000001</v>
      </c>
      <c r="E227" s="34">
        <v>76.5</v>
      </c>
      <c r="F227" s="34">
        <f t="shared" si="3"/>
        <v>58.216500000000003</v>
      </c>
      <c r="G227" s="45">
        <f>SUM(F227:F235)</f>
        <v>384.86975261079999</v>
      </c>
      <c r="H227" s="46"/>
      <c r="I227" s="156">
        <v>0.3256</v>
      </c>
    </row>
    <row r="228" spans="1:9" x14ac:dyDescent="0.3">
      <c r="A228" s="243"/>
      <c r="B228" s="36" t="s">
        <v>789</v>
      </c>
      <c r="C228" s="36" t="s">
        <v>939</v>
      </c>
      <c r="D228" s="37">
        <v>325.16000000000003</v>
      </c>
      <c r="E228" s="34">
        <v>0.46750000000000003</v>
      </c>
      <c r="F228" s="34">
        <f t="shared" si="3"/>
        <v>152.01230000000001</v>
      </c>
      <c r="G228" s="45"/>
      <c r="H228" s="46"/>
      <c r="I228" s="156">
        <v>0.3256</v>
      </c>
    </row>
    <row r="229" spans="1:9" ht="26.4" x14ac:dyDescent="0.3">
      <c r="A229" s="243"/>
      <c r="B229" s="36" t="s">
        <v>801</v>
      </c>
      <c r="C229" s="36" t="s">
        <v>122</v>
      </c>
      <c r="D229" s="37">
        <v>0.59099999999999997</v>
      </c>
      <c r="E229" s="34">
        <v>111.82599999999999</v>
      </c>
      <c r="F229" s="34">
        <f t="shared" si="3"/>
        <v>66.089165999999992</v>
      </c>
      <c r="G229" s="45"/>
      <c r="H229" s="46"/>
      <c r="I229" s="156">
        <v>0.3256</v>
      </c>
    </row>
    <row r="230" spans="1:9" x14ac:dyDescent="0.3">
      <c r="A230" s="243"/>
      <c r="B230" s="36" t="s">
        <v>745</v>
      </c>
      <c r="C230" s="36" t="s">
        <v>744</v>
      </c>
      <c r="D230" s="37">
        <v>2.0299999999999998</v>
      </c>
      <c r="E230" s="31">
        <v>14.968499999999999</v>
      </c>
      <c r="F230" s="34">
        <f t="shared" si="3"/>
        <v>30.386054999999995</v>
      </c>
      <c r="G230" s="45"/>
      <c r="H230" s="46"/>
      <c r="I230" s="156">
        <v>0.3256</v>
      </c>
    </row>
    <row r="231" spans="1:9" ht="26.4" x14ac:dyDescent="0.3">
      <c r="A231" s="243"/>
      <c r="B231" s="36" t="s">
        <v>1513</v>
      </c>
      <c r="C231" s="36" t="s">
        <v>744</v>
      </c>
      <c r="D231" s="37">
        <v>1.28</v>
      </c>
      <c r="E231" s="31">
        <v>15.147</v>
      </c>
      <c r="F231" s="95">
        <f t="shared" si="3"/>
        <v>19.388159999999999</v>
      </c>
      <c r="G231" s="45"/>
      <c r="H231" s="46"/>
      <c r="I231" s="156">
        <v>0.3256</v>
      </c>
    </row>
    <row r="232" spans="1:9" ht="39.6" x14ac:dyDescent="0.3">
      <c r="A232" s="243"/>
      <c r="B232" s="36" t="s">
        <v>1433</v>
      </c>
      <c r="C232" s="36" t="s">
        <v>983</v>
      </c>
      <c r="D232" s="37">
        <v>0.66</v>
      </c>
      <c r="E232" s="31">
        <v>3.5275000000000003</v>
      </c>
      <c r="F232" s="95">
        <f t="shared" si="3"/>
        <v>2.3281500000000004</v>
      </c>
      <c r="G232" s="45"/>
      <c r="H232" s="46"/>
      <c r="I232" s="156">
        <v>0.3256</v>
      </c>
    </row>
    <row r="233" spans="1:9" ht="39.6" x14ac:dyDescent="0.3">
      <c r="A233" s="243"/>
      <c r="B233" s="36" t="s">
        <v>1514</v>
      </c>
      <c r="C233" s="47" t="s">
        <v>985</v>
      </c>
      <c r="D233" s="37">
        <v>0.62</v>
      </c>
      <c r="E233" s="31">
        <v>1.1220000000000001</v>
      </c>
      <c r="F233" s="34">
        <f t="shared" si="3"/>
        <v>0.69564000000000004</v>
      </c>
      <c r="G233" s="45"/>
      <c r="H233" s="46"/>
      <c r="I233" s="156">
        <v>0.3256</v>
      </c>
    </row>
    <row r="234" spans="1:9" ht="52.8" x14ac:dyDescent="0.3">
      <c r="A234" s="243"/>
      <c r="B234" s="36" t="s">
        <v>1931</v>
      </c>
      <c r="C234" s="36" t="s">
        <v>122</v>
      </c>
      <c r="D234" s="37">
        <f>ROUND(1*(D227+D229),4)</f>
        <v>1.3520000000000001</v>
      </c>
      <c r="E234" s="31">
        <v>5.4507091499999989</v>
      </c>
      <c r="F234" s="34">
        <f t="shared" si="3"/>
        <v>7.369358770799999</v>
      </c>
      <c r="G234" s="45"/>
      <c r="H234" s="46"/>
      <c r="I234" s="156">
        <v>0.3256</v>
      </c>
    </row>
    <row r="235" spans="1:9" ht="26.4" x14ac:dyDescent="0.3">
      <c r="A235" s="243"/>
      <c r="B235" s="36" t="s">
        <v>1930</v>
      </c>
      <c r="C235" s="47" t="s">
        <v>124</v>
      </c>
      <c r="D235" s="37">
        <f>ROUND((D227+D229)*20,4)</f>
        <v>27.04</v>
      </c>
      <c r="E235" s="31">
        <v>1.7893647499999998</v>
      </c>
      <c r="F235" s="34">
        <f t="shared" si="3"/>
        <v>48.384422839999992</v>
      </c>
      <c r="G235" s="45"/>
      <c r="H235" s="46"/>
      <c r="I235" s="156">
        <v>0.3256</v>
      </c>
    </row>
    <row r="236" spans="1:9" x14ac:dyDescent="0.3">
      <c r="A236" s="243"/>
      <c r="B236" s="51"/>
      <c r="C236" s="47"/>
      <c r="D236" s="37"/>
      <c r="E236" s="31" t="s">
        <v>560</v>
      </c>
      <c r="F236" s="34" t="str">
        <f t="shared" si="3"/>
        <v/>
      </c>
      <c r="G236" s="45"/>
      <c r="H236" s="46"/>
      <c r="I236" s="156">
        <v>0.3256</v>
      </c>
    </row>
    <row r="237" spans="1:9" ht="26.4" x14ac:dyDescent="0.3">
      <c r="A237" s="243"/>
      <c r="B237" s="48" t="s">
        <v>125</v>
      </c>
      <c r="C237" s="47"/>
      <c r="D237" s="37"/>
      <c r="E237" s="31" t="s">
        <v>560</v>
      </c>
      <c r="F237" s="34" t="str">
        <f t="shared" si="3"/>
        <v/>
      </c>
      <c r="G237" s="45"/>
      <c r="H237" s="46"/>
      <c r="I237" s="156">
        <v>0.3256</v>
      </c>
    </row>
    <row r="238" spans="1:9" x14ac:dyDescent="0.3">
      <c r="A238" s="243"/>
      <c r="B238" s="36" t="s">
        <v>560</v>
      </c>
      <c r="C238" s="36"/>
      <c r="D238" s="93"/>
      <c r="E238" s="31" t="s">
        <v>560</v>
      </c>
      <c r="F238" s="31" t="str">
        <f t="shared" si="3"/>
        <v/>
      </c>
      <c r="G238" s="35"/>
      <c r="H238" s="31"/>
      <c r="I238" s="156">
        <v>0.3256</v>
      </c>
    </row>
    <row r="239" spans="1:9" ht="26.25" hidden="1" customHeight="1" thickBot="1" x14ac:dyDescent="0.35">
      <c r="A239" s="244" t="s">
        <v>1523</v>
      </c>
      <c r="B239" s="41" t="s">
        <v>560</v>
      </c>
      <c r="C239" s="26" t="s">
        <v>122</v>
      </c>
      <c r="D239" s="94"/>
      <c r="E239" s="42" t="s">
        <v>560</v>
      </c>
      <c r="F239" s="42" t="str">
        <f t="shared" si="3"/>
        <v/>
      </c>
      <c r="G239" s="29"/>
      <c r="H239" s="30"/>
      <c r="I239" s="156">
        <v>0</v>
      </c>
    </row>
    <row r="240" spans="1:9" hidden="1" x14ac:dyDescent="0.3">
      <c r="A240" s="243"/>
      <c r="B240" s="32" t="s">
        <v>560</v>
      </c>
      <c r="C240" s="32"/>
      <c r="D240" s="92"/>
      <c r="E240" s="98" t="s">
        <v>560</v>
      </c>
      <c r="F240" s="99" t="str">
        <f t="shared" si="3"/>
        <v/>
      </c>
      <c r="G240" s="35"/>
      <c r="H240" s="31"/>
      <c r="I240" s="156">
        <v>0</v>
      </c>
    </row>
    <row r="241" spans="1:9" ht="26.4" hidden="1" x14ac:dyDescent="0.3">
      <c r="A241" s="243"/>
      <c r="B241" s="36" t="s">
        <v>793</v>
      </c>
      <c r="C241" s="36" t="s">
        <v>122</v>
      </c>
      <c r="D241" s="37">
        <v>0.82699999999999996</v>
      </c>
      <c r="E241" s="34">
        <v>76.5</v>
      </c>
      <c r="F241" s="34">
        <f t="shared" si="3"/>
        <v>63.265499999999996</v>
      </c>
      <c r="G241" s="45">
        <f>SUM(F241:F249)</f>
        <v>343.53606383074992</v>
      </c>
      <c r="H241" s="46"/>
      <c r="I241" s="156">
        <v>0</v>
      </c>
    </row>
    <row r="242" spans="1:9" hidden="1" x14ac:dyDescent="0.3">
      <c r="A242" s="243"/>
      <c r="B242" s="36" t="s">
        <v>789</v>
      </c>
      <c r="C242" s="36" t="s">
        <v>939</v>
      </c>
      <c r="D242" s="37">
        <v>212.02</v>
      </c>
      <c r="E242" s="34">
        <v>0.46750000000000003</v>
      </c>
      <c r="F242" s="34">
        <f t="shared" si="3"/>
        <v>99.119350000000011</v>
      </c>
      <c r="G242" s="45"/>
      <c r="H242" s="46"/>
      <c r="I242" s="156">
        <v>0</v>
      </c>
    </row>
    <row r="243" spans="1:9" ht="26.4" hidden="1" x14ac:dyDescent="0.3">
      <c r="A243" s="243"/>
      <c r="B243" s="36" t="s">
        <v>801</v>
      </c>
      <c r="C243" s="36" t="s">
        <v>122</v>
      </c>
      <c r="D243" s="37">
        <v>0.57799999999999996</v>
      </c>
      <c r="E243" s="34">
        <v>111.82599999999999</v>
      </c>
      <c r="F243" s="34">
        <f t="shared" si="3"/>
        <v>64.63542799999999</v>
      </c>
      <c r="G243" s="45"/>
      <c r="H243" s="46"/>
      <c r="I243" s="156">
        <v>0</v>
      </c>
    </row>
    <row r="244" spans="1:9" hidden="1" x14ac:dyDescent="0.3">
      <c r="A244" s="243"/>
      <c r="B244" s="36" t="s">
        <v>745</v>
      </c>
      <c r="C244" s="36" t="s">
        <v>744</v>
      </c>
      <c r="D244" s="37">
        <v>2.34</v>
      </c>
      <c r="E244" s="31">
        <v>14.968499999999999</v>
      </c>
      <c r="F244" s="34">
        <f t="shared" si="3"/>
        <v>35.026289999999996</v>
      </c>
      <c r="G244" s="45"/>
      <c r="H244" s="46"/>
      <c r="I244" s="156">
        <v>0</v>
      </c>
    </row>
    <row r="245" spans="1:9" ht="26.4" hidden="1" x14ac:dyDescent="0.3">
      <c r="A245" s="243"/>
      <c r="B245" s="36" t="s">
        <v>1513</v>
      </c>
      <c r="C245" s="36" t="s">
        <v>744</v>
      </c>
      <c r="D245" s="37">
        <v>1.48</v>
      </c>
      <c r="E245" s="31">
        <v>15.147</v>
      </c>
      <c r="F245" s="100">
        <f t="shared" si="3"/>
        <v>22.417560000000002</v>
      </c>
      <c r="G245" s="45"/>
      <c r="H245" s="46"/>
      <c r="I245" s="156">
        <v>0</v>
      </c>
    </row>
    <row r="246" spans="1:9" ht="39.6" hidden="1" x14ac:dyDescent="0.3">
      <c r="A246" s="243"/>
      <c r="B246" s="36" t="s">
        <v>119</v>
      </c>
      <c r="C246" s="36" t="s">
        <v>983</v>
      </c>
      <c r="D246" s="37">
        <v>0.76</v>
      </c>
      <c r="E246" s="31">
        <v>1.2324999999999999</v>
      </c>
      <c r="F246" s="100">
        <f t="shared" si="3"/>
        <v>0.93669999999999998</v>
      </c>
      <c r="G246" s="45"/>
      <c r="H246" s="46"/>
      <c r="I246" s="156">
        <v>0</v>
      </c>
    </row>
    <row r="247" spans="1:9" ht="39.6" hidden="1" x14ac:dyDescent="0.3">
      <c r="A247" s="243"/>
      <c r="B247" s="36" t="s">
        <v>120</v>
      </c>
      <c r="C247" s="47" t="s">
        <v>985</v>
      </c>
      <c r="D247" s="37">
        <v>0.72</v>
      </c>
      <c r="E247" s="31">
        <v>0.27200000000000002</v>
      </c>
      <c r="F247" s="34">
        <f t="shared" si="3"/>
        <v>0.19584000000000001</v>
      </c>
      <c r="G247" s="45"/>
      <c r="H247" s="46"/>
      <c r="I247" s="156">
        <v>0</v>
      </c>
    </row>
    <row r="248" spans="1:9" ht="52.8" hidden="1" x14ac:dyDescent="0.3">
      <c r="A248" s="243"/>
      <c r="B248" s="36" t="s">
        <v>1931</v>
      </c>
      <c r="C248" s="36" t="s">
        <v>122</v>
      </c>
      <c r="D248" s="37">
        <f>ROUND(1*(D241+D243),4)</f>
        <v>1.405</v>
      </c>
      <c r="E248" s="31">
        <v>5.4507091499999989</v>
      </c>
      <c r="F248" s="34">
        <f t="shared" si="3"/>
        <v>7.6582463557499985</v>
      </c>
      <c r="G248" s="45"/>
      <c r="H248" s="46"/>
      <c r="I248" s="156">
        <v>0</v>
      </c>
    </row>
    <row r="249" spans="1:9" ht="15.75" hidden="1" customHeight="1" x14ac:dyDescent="0.3">
      <c r="A249" s="243"/>
      <c r="B249" s="36" t="s">
        <v>1930</v>
      </c>
      <c r="C249" s="47" t="s">
        <v>124</v>
      </c>
      <c r="D249" s="37">
        <f>ROUND((D241+D243)*20,4)</f>
        <v>28.1</v>
      </c>
      <c r="E249" s="31">
        <v>1.7893647499999998</v>
      </c>
      <c r="F249" s="34">
        <f t="shared" si="3"/>
        <v>50.281149474999999</v>
      </c>
      <c r="G249" s="45"/>
      <c r="H249" s="46"/>
      <c r="I249" s="156">
        <v>0</v>
      </c>
    </row>
    <row r="250" spans="1:9" hidden="1" x14ac:dyDescent="0.3">
      <c r="A250" s="243"/>
      <c r="B250" s="51"/>
      <c r="C250" s="47"/>
      <c r="D250" s="37"/>
      <c r="E250" s="31" t="s">
        <v>560</v>
      </c>
      <c r="F250" s="34" t="str">
        <f t="shared" si="3"/>
        <v/>
      </c>
      <c r="G250" s="45"/>
      <c r="H250" s="46"/>
      <c r="I250" s="156">
        <v>0</v>
      </c>
    </row>
    <row r="251" spans="1:9" ht="26.4" hidden="1" x14ac:dyDescent="0.3">
      <c r="A251" s="243"/>
      <c r="B251" s="48" t="s">
        <v>125</v>
      </c>
      <c r="C251" s="47"/>
      <c r="D251" s="37"/>
      <c r="E251" s="31" t="s">
        <v>560</v>
      </c>
      <c r="F251" s="34" t="str">
        <f t="shared" si="3"/>
        <v/>
      </c>
      <c r="G251" s="45"/>
      <c r="H251" s="46"/>
      <c r="I251" s="156">
        <v>0</v>
      </c>
    </row>
    <row r="252" spans="1:9" hidden="1" x14ac:dyDescent="0.3">
      <c r="A252" s="243"/>
      <c r="B252" s="36" t="s">
        <v>560</v>
      </c>
      <c r="C252" s="36"/>
      <c r="D252" s="93"/>
      <c r="E252" s="31" t="s">
        <v>560</v>
      </c>
      <c r="F252" s="31" t="str">
        <f t="shared" si="3"/>
        <v/>
      </c>
      <c r="G252" s="35"/>
      <c r="H252" s="31"/>
      <c r="I252" s="156">
        <v>0</v>
      </c>
    </row>
    <row r="253" spans="1:9" ht="15" hidden="1" thickBot="1" x14ac:dyDescent="0.35">
      <c r="A253" s="244" t="s">
        <v>1073</v>
      </c>
      <c r="B253" s="41" t="s">
        <v>560</v>
      </c>
      <c r="C253" s="26" t="s">
        <v>122</v>
      </c>
      <c r="D253" s="94"/>
      <c r="E253" s="42" t="s">
        <v>560</v>
      </c>
      <c r="F253" s="49" t="str">
        <f t="shared" si="3"/>
        <v/>
      </c>
      <c r="G253" s="29"/>
      <c r="H253" s="30"/>
      <c r="I253" s="156">
        <v>0</v>
      </c>
    </row>
    <row r="254" spans="1:9" hidden="1" x14ac:dyDescent="0.3">
      <c r="A254" s="243"/>
      <c r="B254" s="32" t="s">
        <v>560</v>
      </c>
      <c r="C254" s="32"/>
      <c r="D254" s="92"/>
      <c r="E254" s="43" t="s">
        <v>560</v>
      </c>
      <c r="F254" s="31" t="str">
        <f t="shared" si="3"/>
        <v/>
      </c>
      <c r="G254" s="35"/>
      <c r="H254" s="31"/>
      <c r="I254" s="156">
        <v>0</v>
      </c>
    </row>
    <row r="255" spans="1:9" ht="26.4" hidden="1" x14ac:dyDescent="0.3">
      <c r="A255" s="243"/>
      <c r="B255" s="36" t="s">
        <v>1349</v>
      </c>
      <c r="C255" s="36" t="s">
        <v>122</v>
      </c>
      <c r="D255" s="37">
        <v>0.51</v>
      </c>
      <c r="E255" s="34">
        <v>119.34</v>
      </c>
      <c r="F255" s="34">
        <f t="shared" si="3"/>
        <v>60.863400000000006</v>
      </c>
      <c r="G255" s="45">
        <f>SUM(F255:F263)</f>
        <v>432.81257435750001</v>
      </c>
      <c r="H255" s="46"/>
      <c r="I255" s="156">
        <v>0</v>
      </c>
    </row>
    <row r="256" spans="1:9" hidden="1" x14ac:dyDescent="0.3">
      <c r="A256" s="243"/>
      <c r="B256" s="36" t="s">
        <v>1515</v>
      </c>
      <c r="C256" s="36" t="s">
        <v>939</v>
      </c>
      <c r="D256" s="37">
        <v>10.35</v>
      </c>
      <c r="E256" s="34">
        <v>0.79899999999999993</v>
      </c>
      <c r="F256" s="34">
        <f t="shared" si="3"/>
        <v>8.2696499999999986</v>
      </c>
      <c r="G256" s="45"/>
      <c r="H256" s="46"/>
      <c r="I256" s="156">
        <v>0</v>
      </c>
    </row>
    <row r="257" spans="1:9" ht="15.75" hidden="1" customHeight="1" x14ac:dyDescent="0.3">
      <c r="A257" s="243"/>
      <c r="B257" s="36" t="s">
        <v>789</v>
      </c>
      <c r="C257" s="36" t="s">
        <v>939</v>
      </c>
      <c r="D257" s="37">
        <v>431.3</v>
      </c>
      <c r="E257" s="34">
        <v>0.46750000000000003</v>
      </c>
      <c r="F257" s="34">
        <f t="shared" si="3"/>
        <v>201.63275000000002</v>
      </c>
      <c r="G257" s="45"/>
      <c r="H257" s="46"/>
      <c r="I257" s="156">
        <v>0</v>
      </c>
    </row>
    <row r="258" spans="1:9" ht="26.4" hidden="1" x14ac:dyDescent="0.3">
      <c r="A258" s="243"/>
      <c r="B258" s="36" t="s">
        <v>798</v>
      </c>
      <c r="C258" s="36" t="s">
        <v>122</v>
      </c>
      <c r="D258" s="37">
        <v>0.54</v>
      </c>
      <c r="E258" s="31">
        <v>129.10649999999998</v>
      </c>
      <c r="F258" s="34">
        <f t="shared" si="3"/>
        <v>69.71750999999999</v>
      </c>
      <c r="G258" s="45"/>
      <c r="H258" s="46"/>
      <c r="I258" s="156">
        <v>0</v>
      </c>
    </row>
    <row r="259" spans="1:9" ht="26.4" hidden="1" x14ac:dyDescent="0.3">
      <c r="A259" s="243"/>
      <c r="B259" s="36" t="s">
        <v>1513</v>
      </c>
      <c r="C259" s="36" t="s">
        <v>744</v>
      </c>
      <c r="D259" s="37">
        <v>3.12</v>
      </c>
      <c r="E259" s="31">
        <v>15.147</v>
      </c>
      <c r="F259" s="34">
        <f t="shared" si="3"/>
        <v>47.25864</v>
      </c>
      <c r="G259" s="45"/>
      <c r="H259" s="46"/>
      <c r="I259" s="156">
        <v>0</v>
      </c>
    </row>
    <row r="260" spans="1:9" ht="39.6" hidden="1" x14ac:dyDescent="0.3">
      <c r="A260" s="243"/>
      <c r="B260" s="36" t="s">
        <v>119</v>
      </c>
      <c r="C260" s="36" t="s">
        <v>983</v>
      </c>
      <c r="D260" s="37">
        <v>0.96</v>
      </c>
      <c r="E260" s="31">
        <v>1.2324999999999999</v>
      </c>
      <c r="F260" s="97">
        <f t="shared" si="3"/>
        <v>1.1831999999999998</v>
      </c>
      <c r="G260" s="45"/>
      <c r="H260" s="46"/>
      <c r="I260" s="156">
        <v>0</v>
      </c>
    </row>
    <row r="261" spans="1:9" ht="39.6" hidden="1" x14ac:dyDescent="0.3">
      <c r="A261" s="243"/>
      <c r="B261" s="36" t="s">
        <v>120</v>
      </c>
      <c r="C261" s="36" t="s">
        <v>985</v>
      </c>
      <c r="D261" s="37">
        <v>2.16</v>
      </c>
      <c r="E261" s="31">
        <v>0.27200000000000002</v>
      </c>
      <c r="F261" s="97">
        <f t="shared" si="3"/>
        <v>0.58752000000000004</v>
      </c>
      <c r="G261" s="45"/>
      <c r="H261" s="46"/>
      <c r="I261" s="156">
        <v>0</v>
      </c>
    </row>
    <row r="262" spans="1:9" ht="52.8" hidden="1" x14ac:dyDescent="0.3">
      <c r="A262" s="243"/>
      <c r="B262" s="36" t="s">
        <v>1931</v>
      </c>
      <c r="C262" s="36" t="s">
        <v>122</v>
      </c>
      <c r="D262" s="37">
        <f>ROUND(1*(D255+D258),4)</f>
        <v>1.05</v>
      </c>
      <c r="E262" s="31">
        <v>5.4507091499999989</v>
      </c>
      <c r="F262" s="34">
        <f t="shared" ref="F262:F325" si="4">IF(ISNUMBER(E262),E262*$D262,"")</f>
        <v>5.723244607499999</v>
      </c>
      <c r="G262" s="45"/>
      <c r="H262" s="46"/>
      <c r="I262" s="156">
        <v>0</v>
      </c>
    </row>
    <row r="263" spans="1:9" ht="26.4" hidden="1" x14ac:dyDescent="0.3">
      <c r="A263" s="243"/>
      <c r="B263" s="36" t="s">
        <v>1930</v>
      </c>
      <c r="C263" s="47" t="s">
        <v>124</v>
      </c>
      <c r="D263" s="37">
        <f>ROUND((D255+D258)*20,4)</f>
        <v>21</v>
      </c>
      <c r="E263" s="31">
        <v>1.7893647499999998</v>
      </c>
      <c r="F263" s="34">
        <f t="shared" si="4"/>
        <v>37.576659749999997</v>
      </c>
      <c r="G263" s="45"/>
      <c r="H263" s="46"/>
      <c r="I263" s="156">
        <v>0</v>
      </c>
    </row>
    <row r="264" spans="1:9" hidden="1" x14ac:dyDescent="0.3">
      <c r="A264" s="243"/>
      <c r="B264" s="51"/>
      <c r="C264" s="47"/>
      <c r="D264" s="37"/>
      <c r="E264" s="31" t="s">
        <v>560</v>
      </c>
      <c r="F264" s="34" t="str">
        <f t="shared" si="4"/>
        <v/>
      </c>
      <c r="G264" s="45"/>
      <c r="H264" s="46"/>
      <c r="I264" s="156">
        <v>0</v>
      </c>
    </row>
    <row r="265" spans="1:9" ht="15.75" hidden="1" customHeight="1" x14ac:dyDescent="0.3">
      <c r="A265" s="243"/>
      <c r="B265" s="48" t="s">
        <v>125</v>
      </c>
      <c r="C265" s="47"/>
      <c r="D265" s="37"/>
      <c r="E265" s="31" t="s">
        <v>560</v>
      </c>
      <c r="F265" s="34" t="str">
        <f t="shared" si="4"/>
        <v/>
      </c>
      <c r="G265" s="45"/>
      <c r="H265" s="46"/>
      <c r="I265" s="156">
        <v>0</v>
      </c>
    </row>
    <row r="266" spans="1:9" hidden="1" x14ac:dyDescent="0.3">
      <c r="A266" s="243"/>
      <c r="B266" s="36"/>
      <c r="C266" s="36"/>
      <c r="D266" s="93"/>
      <c r="E266" s="31" t="s">
        <v>560</v>
      </c>
      <c r="F266" s="31" t="str">
        <f t="shared" si="4"/>
        <v/>
      </c>
      <c r="G266" s="35"/>
      <c r="H266" s="31"/>
      <c r="I266" s="156">
        <v>0</v>
      </c>
    </row>
    <row r="267" spans="1:9" ht="15" hidden="1" thickBot="1" x14ac:dyDescent="0.35">
      <c r="A267" s="243" t="s">
        <v>1060</v>
      </c>
      <c r="B267" s="41" t="s">
        <v>560</v>
      </c>
      <c r="C267" s="26" t="s">
        <v>122</v>
      </c>
      <c r="D267" s="94"/>
      <c r="E267" s="28" t="s">
        <v>560</v>
      </c>
      <c r="F267" s="26" t="str">
        <f t="shared" si="4"/>
        <v/>
      </c>
      <c r="G267" s="29"/>
      <c r="H267" s="30"/>
      <c r="I267" s="156">
        <v>0</v>
      </c>
    </row>
    <row r="268" spans="1:9" hidden="1" x14ac:dyDescent="0.3">
      <c r="A268" s="243"/>
      <c r="B268" s="32" t="s">
        <v>560</v>
      </c>
      <c r="C268" s="32"/>
      <c r="D268" s="92"/>
      <c r="E268" s="31" t="s">
        <v>560</v>
      </c>
      <c r="F268" s="31" t="str">
        <f t="shared" si="4"/>
        <v/>
      </c>
      <c r="G268" s="35"/>
      <c r="H268" s="31"/>
      <c r="I268" s="156">
        <v>0</v>
      </c>
    </row>
    <row r="269" spans="1:9" hidden="1" x14ac:dyDescent="0.3">
      <c r="A269" s="243"/>
      <c r="B269" s="36" t="s">
        <v>115</v>
      </c>
      <c r="C269" s="36" t="s">
        <v>122</v>
      </c>
      <c r="D269" s="37">
        <v>1.25</v>
      </c>
      <c r="E269" s="31">
        <v>76.5</v>
      </c>
      <c r="F269" s="34">
        <f t="shared" si="4"/>
        <v>95.625</v>
      </c>
      <c r="G269" s="45">
        <f>SUM(F269:F273)</f>
        <v>585.03385518749997</v>
      </c>
      <c r="H269" s="46"/>
      <c r="I269" s="156">
        <v>0</v>
      </c>
    </row>
    <row r="270" spans="1:9" hidden="1" x14ac:dyDescent="0.3">
      <c r="A270" s="243"/>
      <c r="B270" s="36" t="s">
        <v>116</v>
      </c>
      <c r="C270" s="36" t="s">
        <v>939</v>
      </c>
      <c r="D270" s="37">
        <v>563.59</v>
      </c>
      <c r="E270" s="34">
        <v>0.46750000000000003</v>
      </c>
      <c r="F270" s="34">
        <f t="shared" si="4"/>
        <v>263.47832500000004</v>
      </c>
      <c r="G270" s="45"/>
      <c r="H270" s="46"/>
      <c r="I270" s="156">
        <v>0</v>
      </c>
    </row>
    <row r="271" spans="1:9" hidden="1" x14ac:dyDescent="0.3">
      <c r="A271" s="243"/>
      <c r="B271" s="36" t="s">
        <v>1486</v>
      </c>
      <c r="C271" s="36" t="s">
        <v>744</v>
      </c>
      <c r="D271" s="37">
        <v>11.65</v>
      </c>
      <c r="E271" s="31">
        <v>14.968499999999999</v>
      </c>
      <c r="F271" s="34">
        <f t="shared" si="4"/>
        <v>174.383025</v>
      </c>
      <c r="G271" s="45"/>
      <c r="H271" s="46"/>
      <c r="I271" s="156">
        <v>0</v>
      </c>
    </row>
    <row r="272" spans="1:9" ht="52.8" hidden="1" x14ac:dyDescent="0.3">
      <c r="A272" s="243"/>
      <c r="B272" s="36" t="s">
        <v>1931</v>
      </c>
      <c r="C272" s="36" t="s">
        <v>122</v>
      </c>
      <c r="D272" s="37">
        <f>ROUND(1*(D269),4)</f>
        <v>1.25</v>
      </c>
      <c r="E272" s="31">
        <v>5.4507091499999989</v>
      </c>
      <c r="F272" s="34">
        <f t="shared" si="4"/>
        <v>6.8133864374999984</v>
      </c>
      <c r="G272" s="45"/>
      <c r="H272" s="46"/>
      <c r="I272" s="156">
        <v>0</v>
      </c>
    </row>
    <row r="273" spans="1:9" ht="26.4" hidden="1" x14ac:dyDescent="0.3">
      <c r="A273" s="243"/>
      <c r="B273" s="36" t="s">
        <v>1930</v>
      </c>
      <c r="C273" s="47" t="s">
        <v>124</v>
      </c>
      <c r="D273" s="37">
        <f>ROUND(D269*20,4)</f>
        <v>25</v>
      </c>
      <c r="E273" s="31">
        <v>1.7893647499999998</v>
      </c>
      <c r="F273" s="34">
        <f t="shared" si="4"/>
        <v>44.734118749999993</v>
      </c>
      <c r="G273" s="45"/>
      <c r="H273" s="46"/>
      <c r="I273" s="156">
        <v>0</v>
      </c>
    </row>
    <row r="274" spans="1:9" hidden="1" x14ac:dyDescent="0.3">
      <c r="A274" s="243"/>
      <c r="B274" s="51"/>
      <c r="C274" s="47"/>
      <c r="D274" s="37"/>
      <c r="E274" s="31" t="s">
        <v>560</v>
      </c>
      <c r="F274" s="34" t="str">
        <f t="shared" si="4"/>
        <v/>
      </c>
      <c r="G274" s="45"/>
      <c r="H274" s="46"/>
      <c r="I274" s="156">
        <v>0</v>
      </c>
    </row>
    <row r="275" spans="1:9" hidden="1" x14ac:dyDescent="0.3">
      <c r="A275" s="243"/>
      <c r="B275" s="48" t="s">
        <v>796</v>
      </c>
      <c r="C275" s="47"/>
      <c r="D275" s="37"/>
      <c r="E275" s="31" t="s">
        <v>560</v>
      </c>
      <c r="F275" s="34" t="str">
        <f t="shared" si="4"/>
        <v/>
      </c>
      <c r="G275" s="45"/>
      <c r="H275" s="46"/>
      <c r="I275" s="156">
        <v>0</v>
      </c>
    </row>
    <row r="276" spans="1:9" ht="15" hidden="1" thickBot="1" x14ac:dyDescent="0.35">
      <c r="A276" s="245"/>
      <c r="B276" s="36" t="s">
        <v>560</v>
      </c>
      <c r="C276" s="36"/>
      <c r="D276" s="93"/>
      <c r="E276" s="31" t="s">
        <v>560</v>
      </c>
      <c r="F276" s="34" t="str">
        <f t="shared" si="4"/>
        <v/>
      </c>
      <c r="G276" s="35"/>
      <c r="H276" s="31"/>
      <c r="I276" s="156">
        <v>0</v>
      </c>
    </row>
    <row r="277" spans="1:9" ht="15" hidden="1" thickBot="1" x14ac:dyDescent="0.35">
      <c r="A277" s="243" t="s">
        <v>737</v>
      </c>
      <c r="B277" s="41" t="s">
        <v>560</v>
      </c>
      <c r="C277" s="26" t="s">
        <v>20</v>
      </c>
      <c r="D277" s="94"/>
      <c r="E277" s="28" t="s">
        <v>560</v>
      </c>
      <c r="F277" s="26" t="str">
        <f t="shared" si="4"/>
        <v/>
      </c>
      <c r="G277" s="29"/>
      <c r="H277" s="30"/>
      <c r="I277" s="156">
        <v>0</v>
      </c>
    </row>
    <row r="278" spans="1:9" hidden="1" x14ac:dyDescent="0.3">
      <c r="A278" s="243"/>
      <c r="B278" s="32" t="s">
        <v>560</v>
      </c>
      <c r="C278" s="32"/>
      <c r="D278" s="92"/>
      <c r="E278" s="31" t="s">
        <v>560</v>
      </c>
      <c r="F278" s="31" t="str">
        <f t="shared" si="4"/>
        <v/>
      </c>
      <c r="G278" s="35"/>
      <c r="H278" s="31"/>
      <c r="I278" s="156">
        <v>0</v>
      </c>
    </row>
    <row r="279" spans="1:9" ht="15.75" hidden="1" customHeight="1" x14ac:dyDescent="0.3">
      <c r="A279" s="243"/>
      <c r="B279" s="36" t="s">
        <v>1516</v>
      </c>
      <c r="C279" s="36" t="s">
        <v>1517</v>
      </c>
      <c r="D279" s="37">
        <v>1</v>
      </c>
      <c r="E279" s="31">
        <v>195.5</v>
      </c>
      <c r="F279" s="34">
        <f t="shared" si="4"/>
        <v>195.5</v>
      </c>
      <c r="G279" s="45">
        <f>SUM(F279:F283)</f>
        <v>271.73855700000001</v>
      </c>
      <c r="H279" s="46"/>
      <c r="I279" s="156">
        <v>0</v>
      </c>
    </row>
    <row r="280" spans="1:9" hidden="1" x14ac:dyDescent="0.3">
      <c r="A280" s="243"/>
      <c r="B280" s="36" t="s">
        <v>1518</v>
      </c>
      <c r="C280" s="36" t="s">
        <v>939</v>
      </c>
      <c r="D280" s="37">
        <v>1.0999999999999999E-2</v>
      </c>
      <c r="E280" s="34">
        <v>22.669499999999999</v>
      </c>
      <c r="F280" s="34">
        <f t="shared" si="4"/>
        <v>0.24936449999999999</v>
      </c>
      <c r="G280" s="45"/>
      <c r="H280" s="46"/>
      <c r="I280" s="156">
        <v>0</v>
      </c>
    </row>
    <row r="281" spans="1:9" hidden="1" x14ac:dyDescent="0.3">
      <c r="A281" s="243"/>
      <c r="B281" s="36" t="s">
        <v>99</v>
      </c>
      <c r="C281" s="36" t="s">
        <v>939</v>
      </c>
      <c r="D281" s="37">
        <v>2.4E-2</v>
      </c>
      <c r="E281" s="31">
        <v>17.203999999999997</v>
      </c>
      <c r="F281" s="34">
        <f t="shared" si="4"/>
        <v>0.41289599999999993</v>
      </c>
      <c r="G281" s="45"/>
      <c r="H281" s="46"/>
      <c r="I281" s="156">
        <v>0</v>
      </c>
    </row>
    <row r="282" spans="1:9" hidden="1" x14ac:dyDescent="0.3">
      <c r="A282" s="243"/>
      <c r="B282" s="36" t="s">
        <v>743</v>
      </c>
      <c r="C282" s="36" t="s">
        <v>744</v>
      </c>
      <c r="D282" s="37">
        <v>2.7410000000000001</v>
      </c>
      <c r="E282" s="31">
        <v>20.161999999999999</v>
      </c>
      <c r="F282" s="34">
        <f t="shared" si="4"/>
        <v>55.264041999999996</v>
      </c>
      <c r="G282" s="45"/>
      <c r="H282" s="46"/>
      <c r="I282" s="156">
        <v>0</v>
      </c>
    </row>
    <row r="283" spans="1:9" hidden="1" x14ac:dyDescent="0.3">
      <c r="A283" s="243"/>
      <c r="B283" s="36" t="s">
        <v>745</v>
      </c>
      <c r="C283" s="47" t="s">
        <v>744</v>
      </c>
      <c r="D283" s="37">
        <v>1.357</v>
      </c>
      <c r="E283" s="31">
        <v>14.968499999999999</v>
      </c>
      <c r="F283" s="34">
        <f t="shared" si="4"/>
        <v>20.312254499999998</v>
      </c>
      <c r="G283" s="45"/>
      <c r="H283" s="46"/>
      <c r="I283" s="156">
        <v>0</v>
      </c>
    </row>
    <row r="284" spans="1:9" hidden="1" x14ac:dyDescent="0.3">
      <c r="A284" s="243"/>
      <c r="B284" s="51"/>
      <c r="C284" s="47"/>
      <c r="D284" s="37"/>
      <c r="E284" s="31" t="s">
        <v>560</v>
      </c>
      <c r="F284" s="34" t="str">
        <f t="shared" si="4"/>
        <v/>
      </c>
      <c r="G284" s="45"/>
      <c r="H284" s="46"/>
      <c r="I284" s="156">
        <v>0</v>
      </c>
    </row>
    <row r="285" spans="1:9" ht="15" hidden="1" thickBot="1" x14ac:dyDescent="0.35">
      <c r="A285" s="244" t="s">
        <v>1524</v>
      </c>
      <c r="B285" s="41" t="s">
        <v>560</v>
      </c>
      <c r="C285" s="26" t="s">
        <v>122</v>
      </c>
      <c r="D285" s="94"/>
      <c r="E285" s="28" t="s">
        <v>560</v>
      </c>
      <c r="F285" s="28" t="str">
        <f t="shared" si="4"/>
        <v/>
      </c>
      <c r="G285" s="29"/>
      <c r="H285" s="30"/>
      <c r="I285" s="156">
        <v>0</v>
      </c>
    </row>
    <row r="286" spans="1:9" hidden="1" x14ac:dyDescent="0.3">
      <c r="A286" s="243"/>
      <c r="B286" s="32" t="s">
        <v>560</v>
      </c>
      <c r="C286" s="32"/>
      <c r="D286" s="92"/>
      <c r="E286" s="31" t="s">
        <v>560</v>
      </c>
      <c r="F286" s="99" t="str">
        <f t="shared" si="4"/>
        <v/>
      </c>
      <c r="G286" s="101"/>
      <c r="H286" s="99"/>
      <c r="I286" s="156">
        <v>0</v>
      </c>
    </row>
    <row r="287" spans="1:9" hidden="1" x14ac:dyDescent="0.3">
      <c r="A287" s="243"/>
      <c r="B287" s="36" t="s">
        <v>115</v>
      </c>
      <c r="C287" s="36" t="s">
        <v>122</v>
      </c>
      <c r="D287" s="37">
        <v>1.07</v>
      </c>
      <c r="E287" s="31">
        <v>76.5</v>
      </c>
      <c r="F287" s="34">
        <f t="shared" si="4"/>
        <v>81.855000000000004</v>
      </c>
      <c r="G287" s="45">
        <f>SUM(F287:F292)</f>
        <v>540.34403944050007</v>
      </c>
      <c r="H287" s="46"/>
      <c r="I287" s="156">
        <v>0</v>
      </c>
    </row>
    <row r="288" spans="1:9" hidden="1" x14ac:dyDescent="0.3">
      <c r="A288" s="243"/>
      <c r="B288" s="36" t="s">
        <v>1515</v>
      </c>
      <c r="C288" s="36" t="s">
        <v>939</v>
      </c>
      <c r="D288" s="37">
        <v>75.47</v>
      </c>
      <c r="E288" s="31">
        <v>0.79899999999999993</v>
      </c>
      <c r="F288" s="34">
        <f t="shared" si="4"/>
        <v>60.300529999999995</v>
      </c>
      <c r="G288" s="45"/>
      <c r="H288" s="46"/>
      <c r="I288" s="156">
        <v>0</v>
      </c>
    </row>
    <row r="289" spans="1:9" ht="15.75" hidden="1" customHeight="1" x14ac:dyDescent="0.3">
      <c r="A289" s="243"/>
      <c r="B289" s="36" t="s">
        <v>116</v>
      </c>
      <c r="C289" s="36" t="s">
        <v>939</v>
      </c>
      <c r="D289" s="37">
        <v>482.96</v>
      </c>
      <c r="E289" s="34">
        <v>0.46750000000000003</v>
      </c>
      <c r="F289" s="34">
        <f t="shared" si="4"/>
        <v>225.78380000000001</v>
      </c>
      <c r="G289" s="45"/>
      <c r="H289" s="46"/>
      <c r="I289" s="156">
        <v>0</v>
      </c>
    </row>
    <row r="290" spans="1:9" hidden="1" x14ac:dyDescent="0.3">
      <c r="A290" s="243"/>
      <c r="B290" s="36" t="s">
        <v>1486</v>
      </c>
      <c r="C290" s="36" t="s">
        <v>744</v>
      </c>
      <c r="D290" s="37">
        <v>8.57</v>
      </c>
      <c r="E290" s="31">
        <v>14.968499999999999</v>
      </c>
      <c r="F290" s="34">
        <f t="shared" si="4"/>
        <v>128.280045</v>
      </c>
      <c r="G290" s="45"/>
      <c r="H290" s="46"/>
      <c r="I290" s="156">
        <v>0</v>
      </c>
    </row>
    <row r="291" spans="1:9" ht="52.8" hidden="1" x14ac:dyDescent="0.3">
      <c r="A291" s="243"/>
      <c r="B291" s="36" t="s">
        <v>1931</v>
      </c>
      <c r="C291" s="36" t="s">
        <v>122</v>
      </c>
      <c r="D291" s="37">
        <f>ROUND(1*D287,4)</f>
        <v>1.07</v>
      </c>
      <c r="E291" s="31">
        <v>5.4507091499999989</v>
      </c>
      <c r="F291" s="34">
        <f t="shared" si="4"/>
        <v>5.8322587904999992</v>
      </c>
      <c r="G291" s="45"/>
      <c r="H291" s="46"/>
      <c r="I291" s="156">
        <v>0</v>
      </c>
    </row>
    <row r="292" spans="1:9" ht="26.4" hidden="1" x14ac:dyDescent="0.3">
      <c r="A292" s="243"/>
      <c r="B292" s="36" t="s">
        <v>1930</v>
      </c>
      <c r="C292" s="47" t="s">
        <v>124</v>
      </c>
      <c r="D292" s="37">
        <f>ROUND(D287*20,4)</f>
        <v>21.4</v>
      </c>
      <c r="E292" s="31">
        <v>1.7893647499999998</v>
      </c>
      <c r="F292" s="34">
        <f t="shared" si="4"/>
        <v>38.292405649999992</v>
      </c>
      <c r="G292" s="45"/>
      <c r="H292" s="46"/>
      <c r="I292" s="156">
        <v>0</v>
      </c>
    </row>
    <row r="293" spans="1:9" hidden="1" x14ac:dyDescent="0.3">
      <c r="A293" s="243"/>
      <c r="B293" s="51"/>
      <c r="C293" s="47"/>
      <c r="D293" s="37"/>
      <c r="E293" s="31" t="s">
        <v>560</v>
      </c>
      <c r="F293" s="34" t="str">
        <f t="shared" si="4"/>
        <v/>
      </c>
      <c r="G293" s="45"/>
      <c r="H293" s="46"/>
      <c r="I293" s="156">
        <v>0</v>
      </c>
    </row>
    <row r="294" spans="1:9" hidden="1" x14ac:dyDescent="0.3">
      <c r="A294" s="243"/>
      <c r="B294" s="48" t="s">
        <v>796</v>
      </c>
      <c r="C294" s="47"/>
      <c r="D294" s="37"/>
      <c r="E294" s="31" t="s">
        <v>560</v>
      </c>
      <c r="F294" s="34" t="str">
        <f t="shared" si="4"/>
        <v/>
      </c>
      <c r="G294" s="45"/>
      <c r="H294" s="46"/>
      <c r="I294" s="156">
        <v>0</v>
      </c>
    </row>
    <row r="295" spans="1:9" ht="15" hidden="1" thickBot="1" x14ac:dyDescent="0.35">
      <c r="A295" s="245"/>
      <c r="B295" s="55" t="s">
        <v>560</v>
      </c>
      <c r="C295" s="55"/>
      <c r="D295" s="96"/>
      <c r="E295" s="67" t="s">
        <v>560</v>
      </c>
      <c r="F295" s="67" t="str">
        <f t="shared" si="4"/>
        <v/>
      </c>
      <c r="G295" s="69"/>
      <c r="H295" s="31"/>
      <c r="I295" s="156">
        <v>0</v>
      </c>
    </row>
    <row r="296" spans="1:9" ht="15" thickBot="1" x14ac:dyDescent="0.35">
      <c r="A296" s="243" t="s">
        <v>1210</v>
      </c>
      <c r="B296" s="167" t="s">
        <v>560</v>
      </c>
      <c r="C296" s="90" t="s">
        <v>939</v>
      </c>
      <c r="D296" s="91"/>
      <c r="E296" s="71" t="s">
        <v>560</v>
      </c>
      <c r="F296" s="71" t="str">
        <f t="shared" si="4"/>
        <v/>
      </c>
      <c r="G296" s="72"/>
      <c r="H296" s="30"/>
      <c r="I296" s="156">
        <v>170.58519999999999</v>
      </c>
    </row>
    <row r="297" spans="1:9" x14ac:dyDescent="0.3">
      <c r="A297" s="243"/>
      <c r="B297" s="32" t="s">
        <v>560</v>
      </c>
      <c r="C297" s="32"/>
      <c r="D297" s="92"/>
      <c r="E297" s="31" t="s">
        <v>560</v>
      </c>
      <c r="F297" s="31" t="str">
        <f t="shared" si="4"/>
        <v/>
      </c>
      <c r="G297" s="35"/>
      <c r="H297" s="31"/>
      <c r="I297" s="156">
        <v>170.58519999999999</v>
      </c>
    </row>
    <row r="298" spans="1:9" ht="26.4" x14ac:dyDescent="0.3">
      <c r="A298" s="243"/>
      <c r="B298" s="36" t="s">
        <v>940</v>
      </c>
      <c r="C298" s="36" t="s">
        <v>292</v>
      </c>
      <c r="D298" s="37">
        <v>2.8159999999999998</v>
      </c>
      <c r="E298" s="31">
        <v>0.17849999999999999</v>
      </c>
      <c r="F298" s="34">
        <f t="shared" si="4"/>
        <v>0.50265599999999999</v>
      </c>
      <c r="G298" s="45">
        <f>SUM(F298:F302)</f>
        <v>17.867107099999998</v>
      </c>
      <c r="H298" s="46"/>
      <c r="I298" s="156">
        <v>170.58519999999999</v>
      </c>
    </row>
    <row r="299" spans="1:9" ht="26.4" x14ac:dyDescent="0.3">
      <c r="A299" s="243"/>
      <c r="B299" s="36" t="s">
        <v>1912</v>
      </c>
      <c r="C299" s="36" t="s">
        <v>939</v>
      </c>
      <c r="D299" s="37">
        <v>2.5000000000000001E-2</v>
      </c>
      <c r="E299" s="31">
        <v>19.465</v>
      </c>
      <c r="F299" s="34">
        <f t="shared" si="4"/>
        <v>0.48662500000000003</v>
      </c>
      <c r="G299" s="45"/>
      <c r="H299" s="46"/>
      <c r="I299" s="156">
        <v>170.58519999999999</v>
      </c>
    </row>
    <row r="300" spans="1:9" x14ac:dyDescent="0.3">
      <c r="A300" s="243"/>
      <c r="B300" s="36" t="s">
        <v>941</v>
      </c>
      <c r="C300" s="36" t="s">
        <v>744</v>
      </c>
      <c r="D300" s="37">
        <v>3.1E-2</v>
      </c>
      <c r="E300" s="34">
        <v>15.674000000000001</v>
      </c>
      <c r="F300" s="34">
        <f t="shared" si="4"/>
        <v>0.48589400000000005</v>
      </c>
      <c r="G300" s="45"/>
      <c r="H300" s="46"/>
      <c r="I300" s="156">
        <v>170.58519999999999</v>
      </c>
    </row>
    <row r="301" spans="1:9" ht="15.75" customHeight="1" x14ac:dyDescent="0.3">
      <c r="A301" s="243"/>
      <c r="B301" s="36" t="s">
        <v>942</v>
      </c>
      <c r="C301" s="36" t="s">
        <v>744</v>
      </c>
      <c r="D301" s="37">
        <v>0.18959999999999999</v>
      </c>
      <c r="E301" s="31">
        <v>20.213000000000001</v>
      </c>
      <c r="F301" s="34">
        <f t="shared" si="4"/>
        <v>3.8323847999999998</v>
      </c>
      <c r="G301" s="45"/>
      <c r="H301" s="46"/>
      <c r="I301" s="156">
        <v>170.58519999999999</v>
      </c>
    </row>
    <row r="302" spans="1:9" ht="26.4" x14ac:dyDescent="0.3">
      <c r="A302" s="243"/>
      <c r="B302" s="36" t="s">
        <v>1519</v>
      </c>
      <c r="C302" s="47" t="s">
        <v>939</v>
      </c>
      <c r="D302" s="37">
        <v>1</v>
      </c>
      <c r="E302" s="31">
        <v>12.5595473</v>
      </c>
      <c r="F302" s="34">
        <f t="shared" si="4"/>
        <v>12.5595473</v>
      </c>
      <c r="G302" s="45"/>
      <c r="H302" s="46"/>
      <c r="I302" s="156">
        <v>170.58519999999999</v>
      </c>
    </row>
    <row r="303" spans="1:9" ht="15" thickBot="1" x14ac:dyDescent="0.35">
      <c r="A303" s="243"/>
      <c r="B303" s="51"/>
      <c r="C303" s="47"/>
      <c r="D303" s="37"/>
      <c r="E303" s="31" t="s">
        <v>560</v>
      </c>
      <c r="F303" s="34" t="str">
        <f t="shared" si="4"/>
        <v/>
      </c>
      <c r="G303" s="45"/>
      <c r="H303" s="46"/>
      <c r="I303" s="156">
        <v>170.58519999999999</v>
      </c>
    </row>
    <row r="304" spans="1:9" ht="15" hidden="1" thickBot="1" x14ac:dyDescent="0.35">
      <c r="A304" s="244" t="s">
        <v>1519</v>
      </c>
      <c r="B304" s="41" t="s">
        <v>560</v>
      </c>
      <c r="C304" s="26" t="s">
        <v>939</v>
      </c>
      <c r="D304" s="94"/>
      <c r="E304" s="28" t="s">
        <v>560</v>
      </c>
      <c r="F304" s="26" t="str">
        <f t="shared" si="4"/>
        <v/>
      </c>
      <c r="G304" s="29"/>
      <c r="H304" s="30"/>
      <c r="I304" s="156">
        <v>0</v>
      </c>
    </row>
    <row r="305" spans="1:9" ht="15.75" hidden="1" customHeight="1" x14ac:dyDescent="0.3">
      <c r="A305" s="243"/>
      <c r="B305" s="32" t="s">
        <v>560</v>
      </c>
      <c r="C305" s="32"/>
      <c r="D305" s="92"/>
      <c r="E305" s="31" t="s">
        <v>560</v>
      </c>
      <c r="F305" s="99" t="str">
        <f t="shared" si="4"/>
        <v/>
      </c>
      <c r="G305" s="101"/>
      <c r="H305" s="99"/>
      <c r="I305" s="156">
        <v>0</v>
      </c>
    </row>
    <row r="306" spans="1:9" ht="15" hidden="1" thickBot="1" x14ac:dyDescent="0.35">
      <c r="A306" s="243"/>
      <c r="B306" s="36" t="s">
        <v>1525</v>
      </c>
      <c r="C306" s="36" t="s">
        <v>939</v>
      </c>
      <c r="D306" s="37">
        <v>1.07</v>
      </c>
      <c r="E306" s="34">
        <v>9.7835000000000001</v>
      </c>
      <c r="F306" s="34">
        <f t="shared" si="4"/>
        <v>10.468345000000001</v>
      </c>
      <c r="G306" s="45">
        <f>SUM(F306:F308)</f>
        <v>12.559547300000002</v>
      </c>
      <c r="H306" s="46"/>
      <c r="I306" s="156">
        <v>0</v>
      </c>
    </row>
    <row r="307" spans="1:9" ht="15" hidden="1" thickBot="1" x14ac:dyDescent="0.35">
      <c r="A307" s="243"/>
      <c r="B307" s="36" t="s">
        <v>941</v>
      </c>
      <c r="C307" s="36" t="s">
        <v>744</v>
      </c>
      <c r="D307" s="37">
        <v>1.3100000000000001E-2</v>
      </c>
      <c r="E307" s="34">
        <v>15.674000000000001</v>
      </c>
      <c r="F307" s="34">
        <f t="shared" si="4"/>
        <v>0.20532940000000002</v>
      </c>
      <c r="G307" s="45"/>
      <c r="H307" s="46"/>
      <c r="I307" s="156">
        <v>0</v>
      </c>
    </row>
    <row r="308" spans="1:9" ht="15" hidden="1" thickBot="1" x14ac:dyDescent="0.35">
      <c r="A308" s="243"/>
      <c r="B308" s="36" t="s">
        <v>942</v>
      </c>
      <c r="C308" s="36" t="s">
        <v>744</v>
      </c>
      <c r="D308" s="37">
        <v>9.3299999999999994E-2</v>
      </c>
      <c r="E308" s="31">
        <v>20.213000000000001</v>
      </c>
      <c r="F308" s="34">
        <f t="shared" si="4"/>
        <v>1.8858729000000001</v>
      </c>
      <c r="G308" s="45"/>
      <c r="H308" s="46"/>
      <c r="I308" s="156">
        <v>0</v>
      </c>
    </row>
    <row r="309" spans="1:9" ht="15" hidden="1" thickBot="1" x14ac:dyDescent="0.35">
      <c r="A309" s="245"/>
      <c r="B309" s="55" t="s">
        <v>560</v>
      </c>
      <c r="C309" s="55"/>
      <c r="D309" s="96"/>
      <c r="E309" s="67" t="s">
        <v>560</v>
      </c>
      <c r="F309" s="68" t="str">
        <f t="shared" si="4"/>
        <v/>
      </c>
      <c r="G309" s="69"/>
      <c r="H309" s="31"/>
      <c r="I309" s="156">
        <v>0</v>
      </c>
    </row>
    <row r="310" spans="1:9" ht="15" thickBot="1" x14ac:dyDescent="0.35">
      <c r="A310" s="244" t="s">
        <v>1211</v>
      </c>
      <c r="B310" s="41" t="s">
        <v>560</v>
      </c>
      <c r="C310" s="26" t="s">
        <v>122</v>
      </c>
      <c r="D310" s="94"/>
      <c r="E310" s="42" t="s">
        <v>560</v>
      </c>
      <c r="F310" s="42" t="str">
        <f t="shared" si="4"/>
        <v/>
      </c>
      <c r="G310" s="29"/>
      <c r="H310" s="30"/>
      <c r="I310" s="156">
        <v>4.8</v>
      </c>
    </row>
    <row r="311" spans="1:9" x14ac:dyDescent="0.3">
      <c r="A311" s="243"/>
      <c r="B311" s="32" t="s">
        <v>560</v>
      </c>
      <c r="C311" s="32"/>
      <c r="D311" s="92"/>
      <c r="E311" s="43" t="s">
        <v>560</v>
      </c>
      <c r="F311" s="31" t="str">
        <f t="shared" si="4"/>
        <v/>
      </c>
      <c r="G311" s="35"/>
      <c r="H311" s="31"/>
      <c r="I311" s="156">
        <v>4.8</v>
      </c>
    </row>
    <row r="312" spans="1:9" ht="26.4" x14ac:dyDescent="0.3">
      <c r="A312" s="243"/>
      <c r="B312" s="36" t="s">
        <v>793</v>
      </c>
      <c r="C312" s="36" t="s">
        <v>122</v>
      </c>
      <c r="D312" s="37">
        <v>0.80800000000000005</v>
      </c>
      <c r="E312" s="34">
        <v>76.5</v>
      </c>
      <c r="F312" s="34">
        <f t="shared" si="4"/>
        <v>61.812000000000005</v>
      </c>
      <c r="G312" s="45">
        <f>SUM(F312:F320)</f>
        <v>364.98354876434996</v>
      </c>
      <c r="H312" s="46"/>
      <c r="I312" s="156">
        <v>4.8</v>
      </c>
    </row>
    <row r="313" spans="1:9" x14ac:dyDescent="0.3">
      <c r="A313" s="243"/>
      <c r="B313" s="36" t="s">
        <v>789</v>
      </c>
      <c r="C313" s="36" t="s">
        <v>939</v>
      </c>
      <c r="D313" s="37">
        <v>274.06</v>
      </c>
      <c r="E313" s="34">
        <v>0.46750000000000003</v>
      </c>
      <c r="F313" s="34">
        <f t="shared" si="4"/>
        <v>128.12305000000001</v>
      </c>
      <c r="G313" s="45"/>
      <c r="H313" s="46"/>
      <c r="I313" s="156">
        <v>4.8</v>
      </c>
    </row>
    <row r="314" spans="1:9" ht="26.4" x14ac:dyDescent="0.3">
      <c r="A314" s="243"/>
      <c r="B314" s="36" t="s">
        <v>801</v>
      </c>
      <c r="C314" s="36" t="s">
        <v>122</v>
      </c>
      <c r="D314" s="37">
        <v>0.58099999999999996</v>
      </c>
      <c r="E314" s="34">
        <v>111.82599999999999</v>
      </c>
      <c r="F314" s="34">
        <f t="shared" si="4"/>
        <v>64.970905999999985</v>
      </c>
      <c r="G314" s="45"/>
      <c r="H314" s="46"/>
      <c r="I314" s="156">
        <v>4.8</v>
      </c>
    </row>
    <row r="315" spans="1:9" x14ac:dyDescent="0.3">
      <c r="A315" s="243"/>
      <c r="B315" s="36" t="s">
        <v>745</v>
      </c>
      <c r="C315" s="36" t="s">
        <v>744</v>
      </c>
      <c r="D315" s="37">
        <v>2.0299999999999998</v>
      </c>
      <c r="E315" s="31">
        <v>14.968499999999999</v>
      </c>
      <c r="F315" s="34">
        <f t="shared" si="4"/>
        <v>30.386054999999995</v>
      </c>
      <c r="G315" s="45"/>
      <c r="H315" s="46"/>
      <c r="I315" s="156">
        <v>4.8</v>
      </c>
    </row>
    <row r="316" spans="1:9" ht="26.4" x14ac:dyDescent="0.3">
      <c r="A316" s="243"/>
      <c r="B316" s="36" t="s">
        <v>1513</v>
      </c>
      <c r="C316" s="36" t="s">
        <v>744</v>
      </c>
      <c r="D316" s="37">
        <v>1.28</v>
      </c>
      <c r="E316" s="31">
        <v>15.147</v>
      </c>
      <c r="F316" s="95">
        <f t="shared" si="4"/>
        <v>19.388159999999999</v>
      </c>
      <c r="G316" s="45"/>
      <c r="H316" s="46"/>
      <c r="I316" s="156">
        <v>4.8</v>
      </c>
    </row>
    <row r="317" spans="1:9" ht="39.6" x14ac:dyDescent="0.3">
      <c r="A317" s="243"/>
      <c r="B317" s="36" t="s">
        <v>1433</v>
      </c>
      <c r="C317" s="36" t="s">
        <v>983</v>
      </c>
      <c r="D317" s="37">
        <v>0.66</v>
      </c>
      <c r="E317" s="31">
        <v>3.5275000000000003</v>
      </c>
      <c r="F317" s="95">
        <f t="shared" si="4"/>
        <v>2.3281500000000004</v>
      </c>
      <c r="G317" s="45"/>
      <c r="H317" s="46"/>
      <c r="I317" s="156">
        <v>4.8</v>
      </c>
    </row>
    <row r="318" spans="1:9" ht="39.6" x14ac:dyDescent="0.3">
      <c r="A318" s="243"/>
      <c r="B318" s="36" t="s">
        <v>1514</v>
      </c>
      <c r="C318" s="47" t="s">
        <v>985</v>
      </c>
      <c r="D318" s="37">
        <v>0.62</v>
      </c>
      <c r="E318" s="31">
        <v>1.1220000000000001</v>
      </c>
      <c r="F318" s="34">
        <f t="shared" si="4"/>
        <v>0.69564000000000004</v>
      </c>
      <c r="G318" s="45"/>
      <c r="H318" s="46"/>
      <c r="I318" s="156">
        <v>4.8</v>
      </c>
    </row>
    <row r="319" spans="1:9" ht="52.8" x14ac:dyDescent="0.3">
      <c r="A319" s="243"/>
      <c r="B319" s="36" t="s">
        <v>1931</v>
      </c>
      <c r="C319" s="36" t="s">
        <v>122</v>
      </c>
      <c r="D319" s="37">
        <f>ROUND(1*(D312+D314),4)</f>
        <v>1.389</v>
      </c>
      <c r="E319" s="31">
        <v>5.4507091499999989</v>
      </c>
      <c r="F319" s="34">
        <f t="shared" si="4"/>
        <v>7.5710350093499983</v>
      </c>
      <c r="G319" s="45"/>
      <c r="H319" s="46"/>
      <c r="I319" s="156">
        <v>4.8</v>
      </c>
    </row>
    <row r="320" spans="1:9" ht="26.4" x14ac:dyDescent="0.3">
      <c r="A320" s="243"/>
      <c r="B320" s="36" t="s">
        <v>1930</v>
      </c>
      <c r="C320" s="47" t="s">
        <v>124</v>
      </c>
      <c r="D320" s="37">
        <f>ROUND((D312+D314)*20,4)</f>
        <v>27.78</v>
      </c>
      <c r="E320" s="31">
        <v>1.7893647499999998</v>
      </c>
      <c r="F320" s="34">
        <f t="shared" si="4"/>
        <v>49.708552754999999</v>
      </c>
      <c r="G320" s="45"/>
      <c r="H320" s="46"/>
      <c r="I320" s="156">
        <v>4.8</v>
      </c>
    </row>
    <row r="321" spans="1:9" x14ac:dyDescent="0.3">
      <c r="A321" s="243"/>
      <c r="B321" s="51"/>
      <c r="C321" s="47"/>
      <c r="D321" s="37"/>
      <c r="E321" s="31" t="s">
        <v>560</v>
      </c>
      <c r="F321" s="34" t="str">
        <f t="shared" si="4"/>
        <v/>
      </c>
      <c r="G321" s="45"/>
      <c r="H321" s="46"/>
      <c r="I321" s="156">
        <v>4.8</v>
      </c>
    </row>
    <row r="322" spans="1:9" ht="26.4" x14ac:dyDescent="0.3">
      <c r="A322" s="243"/>
      <c r="B322" s="48" t="s">
        <v>125</v>
      </c>
      <c r="C322" s="47"/>
      <c r="D322" s="37"/>
      <c r="E322" s="31" t="s">
        <v>560</v>
      </c>
      <c r="F322" s="34" t="str">
        <f t="shared" si="4"/>
        <v/>
      </c>
      <c r="G322" s="45"/>
      <c r="H322" s="46"/>
      <c r="I322" s="156">
        <v>4.8</v>
      </c>
    </row>
    <row r="323" spans="1:9" ht="15" thickBot="1" x14ac:dyDescent="0.35">
      <c r="A323" s="243"/>
      <c r="B323" s="36" t="s">
        <v>560</v>
      </c>
      <c r="C323" s="36"/>
      <c r="D323" s="93"/>
      <c r="E323" s="31" t="s">
        <v>560</v>
      </c>
      <c r="F323" s="31" t="str">
        <f t="shared" si="4"/>
        <v/>
      </c>
      <c r="G323" s="35"/>
      <c r="H323" s="31"/>
      <c r="I323" s="156">
        <v>4.8</v>
      </c>
    </row>
    <row r="324" spans="1:9" ht="15" thickBot="1" x14ac:dyDescent="0.35">
      <c r="A324" s="244" t="s">
        <v>1113</v>
      </c>
      <c r="B324" s="41" t="s">
        <v>560</v>
      </c>
      <c r="C324" s="26" t="s">
        <v>122</v>
      </c>
      <c r="D324" s="94"/>
      <c r="E324" s="42" t="s">
        <v>560</v>
      </c>
      <c r="F324" s="42" t="str">
        <f t="shared" si="4"/>
        <v/>
      </c>
      <c r="G324" s="29"/>
      <c r="H324" s="30"/>
      <c r="I324" s="156">
        <v>96.7</v>
      </c>
    </row>
    <row r="325" spans="1:9" x14ac:dyDescent="0.3">
      <c r="A325" s="243"/>
      <c r="B325" s="32" t="s">
        <v>560</v>
      </c>
      <c r="C325" s="32"/>
      <c r="D325" s="92"/>
      <c r="E325" s="43" t="s">
        <v>560</v>
      </c>
      <c r="F325" s="31" t="str">
        <f t="shared" si="4"/>
        <v/>
      </c>
      <c r="G325" s="35"/>
      <c r="H325" s="31"/>
      <c r="I325" s="156">
        <v>96.7</v>
      </c>
    </row>
    <row r="326" spans="1:9" ht="26.4" x14ac:dyDescent="0.3">
      <c r="A326" s="243"/>
      <c r="B326" s="36" t="s">
        <v>793</v>
      </c>
      <c r="C326" s="36" t="s">
        <v>122</v>
      </c>
      <c r="D326" s="37">
        <v>0.83199999999999996</v>
      </c>
      <c r="E326" s="34">
        <v>76.5</v>
      </c>
      <c r="F326" s="34">
        <f t="shared" ref="F326:F389" si="5">IF(ISNUMBER(E326),E326*$D326,"")</f>
        <v>63.647999999999996</v>
      </c>
      <c r="G326" s="45">
        <f>SUM(F326:F334)</f>
        <v>341.72146486809999</v>
      </c>
      <c r="H326" s="46"/>
      <c r="I326" s="156">
        <v>96.7</v>
      </c>
    </row>
    <row r="327" spans="1:9" x14ac:dyDescent="0.3">
      <c r="A327" s="243"/>
      <c r="B327" s="36" t="s">
        <v>789</v>
      </c>
      <c r="C327" s="36" t="s">
        <v>939</v>
      </c>
      <c r="D327" s="37">
        <v>213.45</v>
      </c>
      <c r="E327" s="34">
        <v>0.46750000000000003</v>
      </c>
      <c r="F327" s="34">
        <f t="shared" si="5"/>
        <v>99.787875</v>
      </c>
      <c r="G327" s="45"/>
      <c r="H327" s="46"/>
      <c r="I327" s="156">
        <v>96.7</v>
      </c>
    </row>
    <row r="328" spans="1:9" ht="26.4" x14ac:dyDescent="0.3">
      <c r="A328" s="243"/>
      <c r="B328" s="36" t="s">
        <v>801</v>
      </c>
      <c r="C328" s="36" t="s">
        <v>122</v>
      </c>
      <c r="D328" s="37">
        <v>0.58199999999999996</v>
      </c>
      <c r="E328" s="34">
        <v>111.82599999999999</v>
      </c>
      <c r="F328" s="34">
        <f t="shared" si="5"/>
        <v>65.082731999999993</v>
      </c>
      <c r="G328" s="45"/>
      <c r="H328" s="46"/>
      <c r="I328" s="156">
        <v>96.7</v>
      </c>
    </row>
    <row r="329" spans="1:9" x14ac:dyDescent="0.3">
      <c r="A329" s="243"/>
      <c r="B329" s="36" t="s">
        <v>745</v>
      </c>
      <c r="C329" s="36" t="s">
        <v>744</v>
      </c>
      <c r="D329" s="37">
        <v>2.11</v>
      </c>
      <c r="E329" s="31">
        <v>14.968499999999999</v>
      </c>
      <c r="F329" s="34">
        <f t="shared" si="5"/>
        <v>31.583534999999994</v>
      </c>
      <c r="G329" s="45"/>
      <c r="H329" s="46"/>
      <c r="I329" s="156">
        <v>96.7</v>
      </c>
    </row>
    <row r="330" spans="1:9" ht="26.4" x14ac:dyDescent="0.3">
      <c r="A330" s="243"/>
      <c r="B330" s="36" t="s">
        <v>1513</v>
      </c>
      <c r="C330" s="36" t="s">
        <v>744</v>
      </c>
      <c r="D330" s="37">
        <v>1.33</v>
      </c>
      <c r="E330" s="31">
        <v>15.147</v>
      </c>
      <c r="F330" s="95">
        <f t="shared" si="5"/>
        <v>20.145510000000002</v>
      </c>
      <c r="G330" s="45"/>
      <c r="H330" s="46"/>
      <c r="I330" s="156">
        <v>96.7</v>
      </c>
    </row>
    <row r="331" spans="1:9" ht="39.6" x14ac:dyDescent="0.3">
      <c r="A331" s="243"/>
      <c r="B331" s="36" t="s">
        <v>1433</v>
      </c>
      <c r="C331" s="36" t="s">
        <v>983</v>
      </c>
      <c r="D331" s="34">
        <v>0.69</v>
      </c>
      <c r="E331" s="31">
        <v>3.5275000000000003</v>
      </c>
      <c r="F331" s="95">
        <f t="shared" si="5"/>
        <v>2.4339750000000002</v>
      </c>
      <c r="G331" s="45"/>
      <c r="H331" s="46"/>
      <c r="I331" s="156">
        <v>96.7</v>
      </c>
    </row>
    <row r="332" spans="1:9" ht="39.6" x14ac:dyDescent="0.3">
      <c r="A332" s="243"/>
      <c r="B332" s="36" t="s">
        <v>1514</v>
      </c>
      <c r="C332" s="47" t="s">
        <v>985</v>
      </c>
      <c r="D332" s="37">
        <v>0.65</v>
      </c>
      <c r="E332" s="31">
        <v>1.1220000000000001</v>
      </c>
      <c r="F332" s="34">
        <f t="shared" si="5"/>
        <v>0.72930000000000006</v>
      </c>
      <c r="G332" s="45"/>
      <c r="H332" s="46"/>
      <c r="I332" s="156">
        <v>96.7</v>
      </c>
    </row>
    <row r="333" spans="1:9" ht="52.8" x14ac:dyDescent="0.3">
      <c r="A333" s="243"/>
      <c r="B333" s="36" t="s">
        <v>1931</v>
      </c>
      <c r="C333" s="36" t="s">
        <v>122</v>
      </c>
      <c r="D333" s="37">
        <f>ROUND(1*(D326+D328),4)</f>
        <v>1.4139999999999999</v>
      </c>
      <c r="E333" s="31">
        <v>5.4507091499999989</v>
      </c>
      <c r="F333" s="34">
        <f t="shared" si="5"/>
        <v>7.7073027380999983</v>
      </c>
      <c r="G333" s="45"/>
      <c r="H333" s="46"/>
      <c r="I333" s="156">
        <v>96.7</v>
      </c>
    </row>
    <row r="334" spans="1:9" ht="26.4" x14ac:dyDescent="0.3">
      <c r="A334" s="243"/>
      <c r="B334" s="36" t="s">
        <v>1930</v>
      </c>
      <c r="C334" s="47" t="s">
        <v>124</v>
      </c>
      <c r="D334" s="37">
        <f>ROUND((D326+D328)*20,4)</f>
        <v>28.28</v>
      </c>
      <c r="E334" s="31">
        <v>1.7893647499999998</v>
      </c>
      <c r="F334" s="34">
        <f t="shared" si="5"/>
        <v>50.603235129999995</v>
      </c>
      <c r="G334" s="45"/>
      <c r="H334" s="46"/>
      <c r="I334" s="156">
        <v>96.7</v>
      </c>
    </row>
    <row r="335" spans="1:9" x14ac:dyDescent="0.3">
      <c r="A335" s="243"/>
      <c r="B335" s="51"/>
      <c r="C335" s="47"/>
      <c r="D335" s="37"/>
      <c r="E335" s="31" t="s">
        <v>560</v>
      </c>
      <c r="F335" s="34" t="str">
        <f t="shared" si="5"/>
        <v/>
      </c>
      <c r="G335" s="45"/>
      <c r="H335" s="46"/>
      <c r="I335" s="156">
        <v>96.7</v>
      </c>
    </row>
    <row r="336" spans="1:9" ht="26.4" x14ac:dyDescent="0.3">
      <c r="A336" s="243"/>
      <c r="B336" s="48" t="s">
        <v>125</v>
      </c>
      <c r="C336" s="47"/>
      <c r="D336" s="37"/>
      <c r="E336" s="31" t="s">
        <v>560</v>
      </c>
      <c r="F336" s="34" t="str">
        <f t="shared" si="5"/>
        <v/>
      </c>
      <c r="G336" s="45"/>
      <c r="H336" s="46"/>
      <c r="I336" s="156">
        <v>96.7</v>
      </c>
    </row>
    <row r="337" spans="1:9" ht="15" thickBot="1" x14ac:dyDescent="0.35">
      <c r="A337" s="243"/>
      <c r="B337" s="36" t="s">
        <v>560</v>
      </c>
      <c r="C337" s="36"/>
      <c r="D337" s="93"/>
      <c r="E337" s="31" t="s">
        <v>560</v>
      </c>
      <c r="F337" s="31" t="str">
        <f t="shared" si="5"/>
        <v/>
      </c>
      <c r="G337" s="35"/>
      <c r="H337" s="31"/>
      <c r="I337" s="156">
        <v>96.7</v>
      </c>
    </row>
    <row r="338" spans="1:9" ht="15" thickBot="1" x14ac:dyDescent="0.35">
      <c r="A338" s="244" t="s">
        <v>1045</v>
      </c>
      <c r="B338" s="41" t="s">
        <v>560</v>
      </c>
      <c r="C338" s="26" t="s">
        <v>122</v>
      </c>
      <c r="D338" s="94"/>
      <c r="E338" s="28" t="s">
        <v>560</v>
      </c>
      <c r="F338" s="28" t="str">
        <f t="shared" si="5"/>
        <v/>
      </c>
      <c r="G338" s="29"/>
      <c r="H338" s="30"/>
      <c r="I338" s="156">
        <v>2.0299999999999999E-2</v>
      </c>
    </row>
    <row r="339" spans="1:9" x14ac:dyDescent="0.3">
      <c r="A339" s="243"/>
      <c r="B339" s="32" t="s">
        <v>560</v>
      </c>
      <c r="C339" s="32"/>
      <c r="D339" s="92"/>
      <c r="E339" s="31" t="s">
        <v>560</v>
      </c>
      <c r="F339" s="31" t="str">
        <f t="shared" si="5"/>
        <v/>
      </c>
      <c r="G339" s="35"/>
      <c r="H339" s="31"/>
      <c r="I339" s="156">
        <v>2.0299999999999999E-2</v>
      </c>
    </row>
    <row r="340" spans="1:9" ht="26.4" x14ac:dyDescent="0.3">
      <c r="A340" s="243"/>
      <c r="B340" s="36" t="s">
        <v>1349</v>
      </c>
      <c r="C340" s="36" t="s">
        <v>122</v>
      </c>
      <c r="D340" s="37">
        <v>1.02</v>
      </c>
      <c r="E340" s="31">
        <v>119.34</v>
      </c>
      <c r="F340" s="34">
        <f t="shared" si="5"/>
        <v>121.72680000000001</v>
      </c>
      <c r="G340" s="45">
        <f>SUM(F340:F346)</f>
        <v>396.96666423300002</v>
      </c>
      <c r="H340" s="46"/>
      <c r="I340" s="156">
        <v>2.0299999999999999E-2</v>
      </c>
    </row>
    <row r="341" spans="1:9" x14ac:dyDescent="0.3">
      <c r="A341" s="243"/>
      <c r="B341" s="36" t="s">
        <v>789</v>
      </c>
      <c r="C341" s="36" t="s">
        <v>939</v>
      </c>
      <c r="D341" s="37">
        <v>343.52</v>
      </c>
      <c r="E341" s="34">
        <v>0.46750000000000003</v>
      </c>
      <c r="F341" s="34">
        <f t="shared" si="5"/>
        <v>160.59559999999999</v>
      </c>
      <c r="G341" s="45"/>
      <c r="H341" s="46"/>
      <c r="I341" s="156">
        <v>2.0299999999999999E-2</v>
      </c>
    </row>
    <row r="342" spans="1:9" ht="26.4" x14ac:dyDescent="0.3">
      <c r="A342" s="243"/>
      <c r="B342" s="36" t="s">
        <v>1513</v>
      </c>
      <c r="C342" s="36" t="s">
        <v>744</v>
      </c>
      <c r="D342" s="37">
        <v>4.6399999999999997</v>
      </c>
      <c r="E342" s="31">
        <v>15.147</v>
      </c>
      <c r="F342" s="34">
        <f t="shared" si="5"/>
        <v>70.282079999999993</v>
      </c>
      <c r="G342" s="45"/>
      <c r="H342" s="46"/>
      <c r="I342" s="156">
        <v>2.0299999999999999E-2</v>
      </c>
    </row>
    <row r="343" spans="1:9" ht="39.6" x14ac:dyDescent="0.3">
      <c r="A343" s="243"/>
      <c r="B343" s="36" t="s">
        <v>119</v>
      </c>
      <c r="C343" s="36" t="s">
        <v>983</v>
      </c>
      <c r="D343" s="37">
        <v>1.08</v>
      </c>
      <c r="E343" s="31">
        <v>1.2324999999999999</v>
      </c>
      <c r="F343" s="34">
        <f t="shared" si="5"/>
        <v>1.3310999999999999</v>
      </c>
      <c r="G343" s="45"/>
      <c r="H343" s="46"/>
      <c r="I343" s="156">
        <v>2.0299999999999999E-2</v>
      </c>
    </row>
    <row r="344" spans="1:9" ht="39.6" x14ac:dyDescent="0.3">
      <c r="A344" s="243"/>
      <c r="B344" s="36" t="s">
        <v>120</v>
      </c>
      <c r="C344" s="36" t="s">
        <v>985</v>
      </c>
      <c r="D344" s="37">
        <v>3.56</v>
      </c>
      <c r="E344" s="31">
        <v>0.27200000000000002</v>
      </c>
      <c r="F344" s="34">
        <f t="shared" si="5"/>
        <v>0.96832000000000007</v>
      </c>
      <c r="G344" s="45"/>
      <c r="H344" s="46"/>
      <c r="I344" s="156">
        <v>2.0299999999999999E-2</v>
      </c>
    </row>
    <row r="345" spans="1:9" ht="52.8" x14ac:dyDescent="0.3">
      <c r="A345" s="243"/>
      <c r="B345" s="36" t="s">
        <v>1931</v>
      </c>
      <c r="C345" s="36" t="s">
        <v>122</v>
      </c>
      <c r="D345" s="37">
        <f>ROUND(1*(D340),4)</f>
        <v>1.02</v>
      </c>
      <c r="E345" s="31">
        <v>5.4507091499999989</v>
      </c>
      <c r="F345" s="34">
        <f t="shared" si="5"/>
        <v>5.5597233329999991</v>
      </c>
      <c r="G345" s="45"/>
      <c r="H345" s="46"/>
      <c r="I345" s="156">
        <v>2.0299999999999999E-2</v>
      </c>
    </row>
    <row r="346" spans="1:9" ht="26.4" x14ac:dyDescent="0.3">
      <c r="A346" s="243"/>
      <c r="B346" s="36" t="s">
        <v>1930</v>
      </c>
      <c r="C346" s="47" t="s">
        <v>124</v>
      </c>
      <c r="D346" s="37">
        <f>ROUND(D340*20,4)</f>
        <v>20.399999999999999</v>
      </c>
      <c r="E346" s="31">
        <v>1.7893647499999998</v>
      </c>
      <c r="F346" s="34">
        <f t="shared" si="5"/>
        <v>36.503040899999995</v>
      </c>
      <c r="G346" s="45"/>
      <c r="H346" s="46"/>
      <c r="I346" s="156">
        <v>2.0299999999999999E-2</v>
      </c>
    </row>
    <row r="347" spans="1:9" x14ac:dyDescent="0.3">
      <c r="A347" s="243"/>
      <c r="B347" s="36"/>
      <c r="C347" s="36"/>
      <c r="D347" s="37"/>
      <c r="E347" s="31" t="s">
        <v>560</v>
      </c>
      <c r="F347" s="34" t="str">
        <f t="shared" si="5"/>
        <v/>
      </c>
      <c r="G347" s="45"/>
      <c r="H347" s="46"/>
      <c r="I347" s="156">
        <v>2.0299999999999999E-2</v>
      </c>
    </row>
    <row r="348" spans="1:9" ht="24.9" customHeight="1" x14ac:dyDescent="0.3">
      <c r="A348" s="243"/>
      <c r="B348" s="48" t="s">
        <v>796</v>
      </c>
      <c r="C348" s="47"/>
      <c r="D348" s="37"/>
      <c r="E348" s="31" t="s">
        <v>560</v>
      </c>
      <c r="F348" s="34" t="str">
        <f t="shared" si="5"/>
        <v/>
      </c>
      <c r="G348" s="45"/>
      <c r="H348" s="46"/>
      <c r="I348" s="156">
        <v>2.0299999999999999E-2</v>
      </c>
    </row>
    <row r="349" spans="1:9" ht="15" thickBot="1" x14ac:dyDescent="0.35">
      <c r="A349" s="245"/>
      <c r="B349" s="55" t="s">
        <v>560</v>
      </c>
      <c r="C349" s="55"/>
      <c r="D349" s="96"/>
      <c r="E349" s="67" t="s">
        <v>560</v>
      </c>
      <c r="F349" s="68" t="str">
        <f t="shared" si="5"/>
        <v/>
      </c>
      <c r="G349" s="69"/>
      <c r="H349" s="31"/>
      <c r="I349" s="156">
        <v>2.0299999999999999E-2</v>
      </c>
    </row>
    <row r="350" spans="1:9" ht="15" thickBot="1" x14ac:dyDescent="0.35">
      <c r="A350" s="244" t="s">
        <v>1931</v>
      </c>
      <c r="B350" s="41" t="s">
        <v>560</v>
      </c>
      <c r="C350" s="26" t="s">
        <v>122</v>
      </c>
      <c r="D350" s="94"/>
      <c r="E350" s="28" t="s">
        <v>560</v>
      </c>
      <c r="F350" s="26" t="str">
        <f t="shared" si="5"/>
        <v/>
      </c>
      <c r="G350" s="29"/>
      <c r="H350" s="30"/>
      <c r="I350" s="156">
        <v>1039.69785</v>
      </c>
    </row>
    <row r="351" spans="1:9" x14ac:dyDescent="0.3">
      <c r="A351" s="243"/>
      <c r="B351" s="32" t="s">
        <v>560</v>
      </c>
      <c r="C351" s="32"/>
      <c r="D351" s="92"/>
      <c r="E351" s="31" t="s">
        <v>560</v>
      </c>
      <c r="F351" s="31" t="str">
        <f t="shared" si="5"/>
        <v/>
      </c>
      <c r="G351" s="35"/>
      <c r="H351" s="31"/>
      <c r="I351" s="156">
        <v>1039.69785</v>
      </c>
    </row>
    <row r="352" spans="1:9" ht="39.6" x14ac:dyDescent="0.3">
      <c r="A352" s="243"/>
      <c r="B352" s="36" t="s">
        <v>1658</v>
      </c>
      <c r="C352" s="36" t="s">
        <v>983</v>
      </c>
      <c r="D352" s="37">
        <v>8.3000000000000001E-3</v>
      </c>
      <c r="E352" s="31">
        <v>124.202</v>
      </c>
      <c r="F352" s="34">
        <f t="shared" si="5"/>
        <v>1.0308766</v>
      </c>
      <c r="G352" s="45">
        <f>SUM(F352:F355)</f>
        <v>5.4059099000000002</v>
      </c>
      <c r="H352" s="46"/>
      <c r="I352" s="156">
        <v>1039.69785</v>
      </c>
    </row>
    <row r="353" spans="1:9" ht="39.6" x14ac:dyDescent="0.3">
      <c r="A353" s="243"/>
      <c r="B353" s="36" t="s">
        <v>1664</v>
      </c>
      <c r="C353" s="47" t="s">
        <v>985</v>
      </c>
      <c r="D353" s="37">
        <v>1.5100000000000001E-2</v>
      </c>
      <c r="E353" s="31">
        <v>42.661499999999997</v>
      </c>
      <c r="F353" s="34">
        <f t="shared" si="5"/>
        <v>0.64418865000000003</v>
      </c>
      <c r="G353" s="45"/>
      <c r="H353" s="46"/>
      <c r="I353" s="156">
        <v>1039.69785</v>
      </c>
    </row>
    <row r="354" spans="1:9" ht="52.8" x14ac:dyDescent="0.3">
      <c r="A354" s="243"/>
      <c r="B354" s="36" t="s">
        <v>1120</v>
      </c>
      <c r="C354" s="47" t="s">
        <v>983</v>
      </c>
      <c r="D354" s="37">
        <v>2.6700000000000002E-2</v>
      </c>
      <c r="E354" s="31">
        <v>114.28249999999998</v>
      </c>
      <c r="F354" s="34">
        <f t="shared" si="5"/>
        <v>3.0513427499999999</v>
      </c>
      <c r="G354" s="45"/>
      <c r="H354" s="46"/>
      <c r="I354" s="156">
        <v>1039.69785</v>
      </c>
    </row>
    <row r="355" spans="1:9" ht="52.8" x14ac:dyDescent="0.3">
      <c r="A355" s="243"/>
      <c r="B355" s="36" t="s">
        <v>1121</v>
      </c>
      <c r="C355" s="47" t="s">
        <v>985</v>
      </c>
      <c r="D355" s="37">
        <v>2.0299999999999999E-2</v>
      </c>
      <c r="E355" s="31">
        <v>33.472999999999999</v>
      </c>
      <c r="F355" s="34">
        <f t="shared" si="5"/>
        <v>0.67950189999999988</v>
      </c>
      <c r="G355" s="45"/>
      <c r="H355" s="46"/>
      <c r="I355" s="156">
        <v>1039.69785</v>
      </c>
    </row>
    <row r="356" spans="1:9" ht="15" thickBot="1" x14ac:dyDescent="0.35">
      <c r="A356" s="245"/>
      <c r="B356" s="55" t="s">
        <v>560</v>
      </c>
      <c r="C356" s="55"/>
      <c r="D356" s="96"/>
      <c r="E356" s="67" t="s">
        <v>560</v>
      </c>
      <c r="F356" s="68" t="str">
        <f t="shared" si="5"/>
        <v/>
      </c>
      <c r="G356" s="69"/>
      <c r="H356" s="31"/>
      <c r="I356" s="156">
        <v>1039.69785</v>
      </c>
    </row>
    <row r="357" spans="1:9" ht="15" thickBot="1" x14ac:dyDescent="0.35">
      <c r="A357" s="244" t="s">
        <v>121</v>
      </c>
      <c r="B357" s="41" t="s">
        <v>560</v>
      </c>
      <c r="C357" s="26" t="s">
        <v>1351</v>
      </c>
      <c r="D357" s="94"/>
      <c r="E357" s="28" t="s">
        <v>560</v>
      </c>
      <c r="F357" s="26" t="str">
        <f t="shared" si="5"/>
        <v/>
      </c>
      <c r="G357" s="29"/>
      <c r="H357" s="30"/>
      <c r="I357" s="156">
        <v>0.36</v>
      </c>
    </row>
    <row r="358" spans="1:9" x14ac:dyDescent="0.3">
      <c r="A358" s="243"/>
      <c r="B358" s="32" t="s">
        <v>560</v>
      </c>
      <c r="C358" s="32"/>
      <c r="D358" s="92"/>
      <c r="E358" s="31" t="s">
        <v>560</v>
      </c>
      <c r="F358" s="31" t="str">
        <f t="shared" si="5"/>
        <v/>
      </c>
      <c r="G358" s="35"/>
      <c r="H358" s="31"/>
      <c r="I358" s="156">
        <v>0.36</v>
      </c>
    </row>
    <row r="359" spans="1:9" ht="39.6" x14ac:dyDescent="0.3">
      <c r="A359" s="243"/>
      <c r="B359" s="36" t="s">
        <v>1658</v>
      </c>
      <c r="C359" s="36" t="s">
        <v>983</v>
      </c>
      <c r="D359" s="37">
        <v>5.5599999999999998E-3</v>
      </c>
      <c r="E359" s="31">
        <v>124.202</v>
      </c>
      <c r="F359" s="34">
        <f t="shared" si="5"/>
        <v>0.69056311999999997</v>
      </c>
      <c r="G359" s="45">
        <f>SUM(F359:F362)</f>
        <v>3.6075582699999997</v>
      </c>
      <c r="H359" s="46"/>
      <c r="I359" s="156">
        <v>0.36</v>
      </c>
    </row>
    <row r="360" spans="1:9" ht="39.6" x14ac:dyDescent="0.3">
      <c r="A360" s="243"/>
      <c r="B360" s="36" t="s">
        <v>1664</v>
      </c>
      <c r="C360" s="47" t="s">
        <v>985</v>
      </c>
      <c r="D360" s="37">
        <v>1.01E-2</v>
      </c>
      <c r="E360" s="31">
        <v>42.661499999999997</v>
      </c>
      <c r="F360" s="34">
        <f t="shared" si="5"/>
        <v>0.43088114999999994</v>
      </c>
      <c r="G360" s="45"/>
      <c r="H360" s="46"/>
      <c r="I360" s="156">
        <v>0.36</v>
      </c>
    </row>
    <row r="361" spans="1:9" ht="52.8" x14ac:dyDescent="0.3">
      <c r="A361" s="243"/>
      <c r="B361" s="36" t="s">
        <v>1120</v>
      </c>
      <c r="C361" s="47" t="s">
        <v>983</v>
      </c>
      <c r="D361" s="37">
        <v>1.78E-2</v>
      </c>
      <c r="E361" s="31">
        <v>114.28249999999998</v>
      </c>
      <c r="F361" s="34">
        <f t="shared" si="5"/>
        <v>2.0342284999999998</v>
      </c>
      <c r="G361" s="45"/>
      <c r="H361" s="46"/>
      <c r="I361" s="156">
        <v>0.36</v>
      </c>
    </row>
    <row r="362" spans="1:9" ht="52.8" x14ac:dyDescent="0.3">
      <c r="A362" s="243"/>
      <c r="B362" s="36" t="s">
        <v>1121</v>
      </c>
      <c r="C362" s="47" t="s">
        <v>985</v>
      </c>
      <c r="D362" s="37">
        <v>1.35E-2</v>
      </c>
      <c r="E362" s="31">
        <v>33.472999999999999</v>
      </c>
      <c r="F362" s="34">
        <f t="shared" si="5"/>
        <v>0.4518855</v>
      </c>
      <c r="G362" s="45"/>
      <c r="H362" s="46"/>
      <c r="I362" s="156">
        <v>0.36</v>
      </c>
    </row>
    <row r="363" spans="1:9" ht="15" thickBot="1" x14ac:dyDescent="0.35">
      <c r="A363" s="245"/>
      <c r="B363" s="55" t="s">
        <v>560</v>
      </c>
      <c r="C363" s="55"/>
      <c r="D363" s="96"/>
      <c r="E363" s="67" t="s">
        <v>560</v>
      </c>
      <c r="F363" s="68" t="str">
        <f t="shared" si="5"/>
        <v/>
      </c>
      <c r="G363" s="69"/>
      <c r="H363" s="31"/>
      <c r="I363" s="156">
        <v>0.36</v>
      </c>
    </row>
    <row r="364" spans="1:9" ht="15" hidden="1" thickBot="1" x14ac:dyDescent="0.35">
      <c r="A364" s="244" t="s">
        <v>1668</v>
      </c>
      <c r="B364" s="41" t="s">
        <v>560</v>
      </c>
      <c r="C364" s="26" t="s">
        <v>1035</v>
      </c>
      <c r="D364" s="94"/>
      <c r="E364" s="28" t="s">
        <v>560</v>
      </c>
      <c r="F364" s="28" t="str">
        <f t="shared" si="5"/>
        <v/>
      </c>
      <c r="G364" s="29"/>
      <c r="H364" s="30"/>
      <c r="I364" s="156">
        <v>0</v>
      </c>
    </row>
    <row r="365" spans="1:9" ht="15" hidden="1" thickBot="1" x14ac:dyDescent="0.35">
      <c r="A365" s="243"/>
      <c r="B365" s="32" t="s">
        <v>560</v>
      </c>
      <c r="C365" s="32"/>
      <c r="D365" s="92"/>
      <c r="E365" s="31" t="s">
        <v>560</v>
      </c>
      <c r="F365" s="31" t="str">
        <f t="shared" si="5"/>
        <v/>
      </c>
      <c r="G365" s="35"/>
      <c r="H365" s="31"/>
      <c r="I365" s="156">
        <v>0</v>
      </c>
    </row>
    <row r="366" spans="1:9" ht="27" hidden="1" thickBot="1" x14ac:dyDescent="0.35">
      <c r="A366" s="243"/>
      <c r="B366" s="36" t="s">
        <v>1204</v>
      </c>
      <c r="C366" s="36" t="s">
        <v>103</v>
      </c>
      <c r="D366" s="37">
        <v>1.7000000000000001E-2</v>
      </c>
      <c r="E366" s="31">
        <v>5.4824999999999999</v>
      </c>
      <c r="F366" s="34">
        <f t="shared" si="5"/>
        <v>9.3202500000000008E-2</v>
      </c>
      <c r="G366" s="45">
        <f>SUM(F366:F370)</f>
        <v>154.20460198000001</v>
      </c>
      <c r="H366" s="46"/>
      <c r="I366" s="156">
        <v>0</v>
      </c>
    </row>
    <row r="367" spans="1:9" ht="15" hidden="1" thickBot="1" x14ac:dyDescent="0.35">
      <c r="A367" s="243"/>
      <c r="B367" s="36" t="s">
        <v>1821</v>
      </c>
      <c r="C367" s="36" t="s">
        <v>939</v>
      </c>
      <c r="D367" s="37">
        <v>2.7E-2</v>
      </c>
      <c r="E367" s="34">
        <v>21.233000000000001</v>
      </c>
      <c r="F367" s="34">
        <f t="shared" si="5"/>
        <v>0.573291</v>
      </c>
      <c r="G367" s="45"/>
      <c r="H367" s="46"/>
      <c r="I367" s="156">
        <v>0</v>
      </c>
    </row>
    <row r="368" spans="1:9" ht="15" hidden="1" thickBot="1" x14ac:dyDescent="0.35">
      <c r="A368" s="243"/>
      <c r="B368" s="36" t="s">
        <v>827</v>
      </c>
      <c r="C368" s="36" t="s">
        <v>744</v>
      </c>
      <c r="D368" s="37">
        <v>0.48899999999999999</v>
      </c>
      <c r="E368" s="31">
        <v>16.966000000000001</v>
      </c>
      <c r="F368" s="34">
        <f t="shared" si="5"/>
        <v>8.2963740000000001</v>
      </c>
      <c r="G368" s="45"/>
      <c r="H368" s="46"/>
      <c r="I368" s="156">
        <v>0</v>
      </c>
    </row>
    <row r="369" spans="1:9" ht="15" hidden="1" thickBot="1" x14ac:dyDescent="0.35">
      <c r="A369" s="243"/>
      <c r="B369" s="36" t="s">
        <v>1036</v>
      </c>
      <c r="C369" s="36" t="s">
        <v>744</v>
      </c>
      <c r="D369" s="37">
        <v>2.6680000000000001</v>
      </c>
      <c r="E369" s="31">
        <v>20.128</v>
      </c>
      <c r="F369" s="34">
        <f t="shared" si="5"/>
        <v>53.701504</v>
      </c>
      <c r="G369" s="45"/>
      <c r="H369" s="46"/>
      <c r="I369" s="156">
        <v>0</v>
      </c>
    </row>
    <row r="370" spans="1:9" ht="27" hidden="1" thickBot="1" x14ac:dyDescent="0.35">
      <c r="A370" s="243"/>
      <c r="B370" s="36" t="s">
        <v>1667</v>
      </c>
      <c r="C370" s="36" t="s">
        <v>1035</v>
      </c>
      <c r="D370" s="37">
        <v>0.53</v>
      </c>
      <c r="E370" s="31">
        <v>172.71741599999999</v>
      </c>
      <c r="F370" s="34">
        <f t="shared" si="5"/>
        <v>91.540230479999991</v>
      </c>
      <c r="G370" s="45"/>
      <c r="H370" s="46"/>
      <c r="I370" s="156">
        <v>0</v>
      </c>
    </row>
    <row r="371" spans="1:9" ht="15" hidden="1" thickBot="1" x14ac:dyDescent="0.35">
      <c r="A371" s="245"/>
      <c r="B371" s="55" t="s">
        <v>560</v>
      </c>
      <c r="C371" s="55"/>
      <c r="D371" s="96"/>
      <c r="E371" s="67" t="s">
        <v>560</v>
      </c>
      <c r="F371" s="68" t="str">
        <f t="shared" si="5"/>
        <v/>
      </c>
      <c r="G371" s="69"/>
      <c r="H371" s="31"/>
      <c r="I371" s="156">
        <v>0</v>
      </c>
    </row>
    <row r="372" spans="1:9" ht="15" hidden="1" thickBot="1" x14ac:dyDescent="0.35">
      <c r="A372" s="244" t="s">
        <v>1684</v>
      </c>
      <c r="B372" s="41" t="s">
        <v>560</v>
      </c>
      <c r="C372" s="26" t="s">
        <v>1035</v>
      </c>
      <c r="D372" s="94"/>
      <c r="E372" s="28" t="s">
        <v>560</v>
      </c>
      <c r="F372" s="28" t="str">
        <f t="shared" si="5"/>
        <v/>
      </c>
      <c r="G372" s="29"/>
      <c r="H372" s="30"/>
      <c r="I372" s="156">
        <v>0</v>
      </c>
    </row>
    <row r="373" spans="1:9" ht="15" hidden="1" thickBot="1" x14ac:dyDescent="0.35">
      <c r="A373" s="243"/>
      <c r="B373" s="32" t="s">
        <v>560</v>
      </c>
      <c r="C373" s="32"/>
      <c r="D373" s="92"/>
      <c r="E373" s="31" t="s">
        <v>560</v>
      </c>
      <c r="F373" s="31" t="str">
        <f t="shared" si="5"/>
        <v/>
      </c>
      <c r="G373" s="35"/>
      <c r="H373" s="31"/>
      <c r="I373" s="156">
        <v>0</v>
      </c>
    </row>
    <row r="374" spans="1:9" ht="40.200000000000003" hidden="1" thickBot="1" x14ac:dyDescent="0.35">
      <c r="A374" s="243"/>
      <c r="B374" s="36" t="s">
        <v>1688</v>
      </c>
      <c r="C374" s="36" t="s">
        <v>122</v>
      </c>
      <c r="D374" s="37">
        <v>4.1999999999999997E-3</v>
      </c>
      <c r="E374" s="31">
        <v>419.51336394250001</v>
      </c>
      <c r="F374" s="34">
        <f t="shared" si="5"/>
        <v>1.7619561285584999</v>
      </c>
      <c r="G374" s="45">
        <f>SUM(F374:F376)</f>
        <v>3.2887856285584998</v>
      </c>
      <c r="H374" s="46"/>
      <c r="I374" s="156">
        <v>0</v>
      </c>
    </row>
    <row r="375" spans="1:9" ht="15" hidden="1" thickBot="1" x14ac:dyDescent="0.35">
      <c r="A375" s="243"/>
      <c r="B375" s="36" t="s">
        <v>752</v>
      </c>
      <c r="C375" s="36" t="s">
        <v>744</v>
      </c>
      <c r="D375" s="37">
        <v>7.0000000000000007E-2</v>
      </c>
      <c r="E375" s="34">
        <v>20.314999999999998</v>
      </c>
      <c r="F375" s="34">
        <f t="shared" si="5"/>
        <v>1.42205</v>
      </c>
      <c r="G375" s="45"/>
      <c r="H375" s="46"/>
      <c r="I375" s="156">
        <v>0</v>
      </c>
    </row>
    <row r="376" spans="1:9" ht="15" hidden="1" thickBot="1" x14ac:dyDescent="0.35">
      <c r="A376" s="243"/>
      <c r="B376" s="36" t="s">
        <v>745</v>
      </c>
      <c r="C376" s="36" t="s">
        <v>744</v>
      </c>
      <c r="D376" s="37">
        <v>7.0000000000000001E-3</v>
      </c>
      <c r="E376" s="31">
        <v>14.968499999999999</v>
      </c>
      <c r="F376" s="34">
        <f t="shared" si="5"/>
        <v>0.1047795</v>
      </c>
      <c r="G376" s="45"/>
      <c r="H376" s="46"/>
      <c r="I376" s="156">
        <v>0</v>
      </c>
    </row>
    <row r="377" spans="1:9" ht="15" hidden="1" thickBot="1" x14ac:dyDescent="0.35">
      <c r="A377" s="243"/>
      <c r="B377" s="36"/>
      <c r="C377" s="36"/>
      <c r="D377" s="37"/>
      <c r="E377" s="31"/>
      <c r="F377" s="34"/>
      <c r="G377" s="45"/>
      <c r="H377" s="46"/>
      <c r="I377" s="156">
        <v>0</v>
      </c>
    </row>
    <row r="378" spans="1:9" ht="15" hidden="1" thickBot="1" x14ac:dyDescent="0.35">
      <c r="A378" s="244" t="s">
        <v>1685</v>
      </c>
      <c r="B378" s="41" t="s">
        <v>560</v>
      </c>
      <c r="C378" s="26" t="s">
        <v>1035</v>
      </c>
      <c r="D378" s="94"/>
      <c r="E378" s="28" t="s">
        <v>560</v>
      </c>
      <c r="F378" s="28" t="str">
        <f>IF(ISNUMBER(E378),E378*$D378,"")</f>
        <v/>
      </c>
      <c r="G378" s="29"/>
      <c r="H378" s="30"/>
      <c r="I378" s="156">
        <v>0</v>
      </c>
    </row>
    <row r="379" spans="1:9" ht="15" hidden="1" thickBot="1" x14ac:dyDescent="0.35">
      <c r="A379" s="243"/>
      <c r="B379" s="32" t="s">
        <v>560</v>
      </c>
      <c r="C379" s="32"/>
      <c r="D379" s="92"/>
      <c r="E379" s="31" t="s">
        <v>560</v>
      </c>
      <c r="F379" s="31" t="str">
        <f>IF(ISNUMBER(E379),E379*$D379,"")</f>
        <v/>
      </c>
      <c r="G379" s="35"/>
      <c r="H379" s="31"/>
      <c r="I379" s="156">
        <v>0</v>
      </c>
    </row>
    <row r="380" spans="1:9" ht="53.4" hidden="1" thickBot="1" x14ac:dyDescent="0.35">
      <c r="A380" s="243"/>
      <c r="B380" s="36" t="s">
        <v>157</v>
      </c>
      <c r="C380" s="36" t="s">
        <v>122</v>
      </c>
      <c r="D380" s="37">
        <v>2.1299999999999999E-2</v>
      </c>
      <c r="E380" s="31">
        <v>436.70215981399997</v>
      </c>
      <c r="F380" s="34">
        <f>IF(ISNUMBER(E380),E380*$D380,"")</f>
        <v>9.3017560040381984</v>
      </c>
      <c r="G380" s="45">
        <f>SUM(F380:F382)</f>
        <v>21.1463955040382</v>
      </c>
      <c r="H380" s="46"/>
      <c r="I380" s="156">
        <v>0</v>
      </c>
    </row>
    <row r="381" spans="1:9" ht="15" hidden="1" thickBot="1" x14ac:dyDescent="0.35">
      <c r="A381" s="243"/>
      <c r="B381" s="36" t="s">
        <v>752</v>
      </c>
      <c r="C381" s="36" t="s">
        <v>744</v>
      </c>
      <c r="D381" s="37">
        <v>0.46</v>
      </c>
      <c r="E381" s="34">
        <v>20.314999999999998</v>
      </c>
      <c r="F381" s="34">
        <f>IF(ISNUMBER(E381),E381*$D381,"")</f>
        <v>9.3448999999999991</v>
      </c>
      <c r="G381" s="45"/>
      <c r="H381" s="46"/>
      <c r="I381" s="156">
        <v>0</v>
      </c>
    </row>
    <row r="382" spans="1:9" ht="15" hidden="1" thickBot="1" x14ac:dyDescent="0.35">
      <c r="A382" s="243"/>
      <c r="B382" s="36" t="s">
        <v>745</v>
      </c>
      <c r="C382" s="36" t="s">
        <v>744</v>
      </c>
      <c r="D382" s="37">
        <v>0.16700000000000001</v>
      </c>
      <c r="E382" s="31">
        <v>14.968499999999999</v>
      </c>
      <c r="F382" s="34">
        <f>IF(ISNUMBER(E382),E382*$D382,"")</f>
        <v>2.4997395</v>
      </c>
      <c r="G382" s="45"/>
      <c r="H382" s="46"/>
      <c r="I382" s="156">
        <v>0</v>
      </c>
    </row>
    <row r="383" spans="1:9" ht="15" hidden="1" thickBot="1" x14ac:dyDescent="0.35">
      <c r="A383" s="243"/>
      <c r="B383" s="36"/>
      <c r="C383" s="36"/>
      <c r="D383" s="37"/>
      <c r="E383" s="31"/>
      <c r="F383" s="34"/>
      <c r="G383" s="45"/>
      <c r="H383" s="46"/>
      <c r="I383" s="156">
        <v>0</v>
      </c>
    </row>
    <row r="384" spans="1:9" ht="15" hidden="1" thickBot="1" x14ac:dyDescent="0.35">
      <c r="A384" s="244" t="s">
        <v>1683</v>
      </c>
      <c r="B384" s="41" t="s">
        <v>560</v>
      </c>
      <c r="C384" s="26" t="s">
        <v>1035</v>
      </c>
      <c r="D384" s="94"/>
      <c r="E384" s="28" t="s">
        <v>560</v>
      </c>
      <c r="F384" s="28" t="str">
        <f t="shared" ref="F384:F392" si="6">IF(ISNUMBER(E384),E384*$D384,"")</f>
        <v/>
      </c>
      <c r="G384" s="29"/>
      <c r="H384" s="30"/>
      <c r="I384" s="156">
        <v>0</v>
      </c>
    </row>
    <row r="385" spans="1:9" ht="15" hidden="1" thickBot="1" x14ac:dyDescent="0.35">
      <c r="A385" s="243"/>
      <c r="B385" s="32" t="s">
        <v>560</v>
      </c>
      <c r="C385" s="32"/>
      <c r="D385" s="92"/>
      <c r="E385" s="31" t="s">
        <v>560</v>
      </c>
      <c r="F385" s="31" t="str">
        <f t="shared" si="6"/>
        <v/>
      </c>
      <c r="G385" s="35"/>
      <c r="H385" s="31"/>
      <c r="I385" s="156">
        <v>0</v>
      </c>
    </row>
    <row r="386" spans="1:9" ht="27" hidden="1" thickBot="1" x14ac:dyDescent="0.35">
      <c r="A386" s="243"/>
      <c r="B386" s="36" t="s">
        <v>1919</v>
      </c>
      <c r="C386" s="36" t="s">
        <v>292</v>
      </c>
      <c r="D386" s="37">
        <v>13.5</v>
      </c>
      <c r="E386" s="31">
        <v>2.0739999999999998</v>
      </c>
      <c r="F386" s="34">
        <f t="shared" si="6"/>
        <v>27.998999999999999</v>
      </c>
      <c r="G386" s="45">
        <f>SUM(F386:F391)</f>
        <v>55.188175906363199</v>
      </c>
      <c r="H386" s="46"/>
      <c r="I386" s="156">
        <v>0</v>
      </c>
    </row>
    <row r="387" spans="1:9" ht="27" hidden="1" thickBot="1" x14ac:dyDescent="0.35">
      <c r="A387" s="243"/>
      <c r="B387" s="36" t="s">
        <v>1841</v>
      </c>
      <c r="C387" s="36" t="s">
        <v>515</v>
      </c>
      <c r="D387" s="37">
        <v>0.78500000000000003</v>
      </c>
      <c r="E387" s="34">
        <v>3.8505000000000003</v>
      </c>
      <c r="F387" s="34">
        <f t="shared" si="6"/>
        <v>3.0226425000000003</v>
      </c>
      <c r="G387" s="45"/>
      <c r="H387" s="46"/>
      <c r="I387" s="156">
        <v>0</v>
      </c>
    </row>
    <row r="388" spans="1:9" ht="15" hidden="1" thickBot="1" x14ac:dyDescent="0.35">
      <c r="A388" s="243"/>
      <c r="B388" s="36" t="s">
        <v>1815</v>
      </c>
      <c r="C388" s="36" t="s">
        <v>1305</v>
      </c>
      <c r="D388" s="37">
        <v>9.4000000000000004E-3</v>
      </c>
      <c r="E388" s="31">
        <v>32.776000000000003</v>
      </c>
      <c r="F388" s="34">
        <f t="shared" si="6"/>
        <v>0.30809440000000005</v>
      </c>
      <c r="G388" s="45"/>
      <c r="H388" s="46"/>
      <c r="I388" s="156">
        <v>0</v>
      </c>
    </row>
    <row r="389" spans="1:9" ht="53.4" hidden="1" thickBot="1" x14ac:dyDescent="0.35">
      <c r="A389" s="243"/>
      <c r="B389" s="36" t="s">
        <v>157</v>
      </c>
      <c r="C389" s="36" t="s">
        <v>122</v>
      </c>
      <c r="D389" s="37">
        <v>8.8000000000000005E-3</v>
      </c>
      <c r="E389" s="31">
        <v>436.70215981399997</v>
      </c>
      <c r="F389" s="34">
        <f t="shared" si="6"/>
        <v>3.8429790063631999</v>
      </c>
      <c r="G389" s="45"/>
      <c r="H389" s="46"/>
      <c r="I389" s="156">
        <v>0</v>
      </c>
    </row>
    <row r="390" spans="1:9" ht="15" hidden="1" thickBot="1" x14ac:dyDescent="0.35">
      <c r="A390" s="243"/>
      <c r="B390" s="36" t="s">
        <v>752</v>
      </c>
      <c r="C390" s="36" t="s">
        <v>744</v>
      </c>
      <c r="D390" s="37">
        <v>0.72</v>
      </c>
      <c r="E390" s="31">
        <v>20.314999999999998</v>
      </c>
      <c r="F390" s="34">
        <f t="shared" si="6"/>
        <v>14.626799999999998</v>
      </c>
      <c r="G390" s="45"/>
      <c r="H390" s="46"/>
      <c r="I390" s="156">
        <v>0</v>
      </c>
    </row>
    <row r="391" spans="1:9" ht="15" hidden="1" thickBot="1" x14ac:dyDescent="0.35">
      <c r="A391" s="243"/>
      <c r="B391" s="36" t="s">
        <v>745</v>
      </c>
      <c r="C391" s="36" t="s">
        <v>744</v>
      </c>
      <c r="D391" s="37">
        <v>0.36</v>
      </c>
      <c r="E391" s="31">
        <v>14.968499999999999</v>
      </c>
      <c r="F391" s="34">
        <f t="shared" si="6"/>
        <v>5.3886599999999998</v>
      </c>
      <c r="G391" s="45"/>
      <c r="H391" s="46"/>
      <c r="I391" s="156">
        <v>0</v>
      </c>
    </row>
    <row r="392" spans="1:9" ht="15" hidden="1" thickBot="1" x14ac:dyDescent="0.35">
      <c r="A392" s="245"/>
      <c r="B392" s="55" t="s">
        <v>560</v>
      </c>
      <c r="C392" s="55"/>
      <c r="D392" s="96"/>
      <c r="E392" s="67" t="s">
        <v>560</v>
      </c>
      <c r="F392" s="68" t="str">
        <f t="shared" si="6"/>
        <v/>
      </c>
      <c r="G392" s="69"/>
      <c r="H392" s="31"/>
      <c r="I392" s="156">
        <v>0</v>
      </c>
    </row>
    <row r="393" spans="1:9" ht="26.25" hidden="1" customHeight="1" thickBot="1" x14ac:dyDescent="0.35">
      <c r="A393" s="244" t="s">
        <v>2018</v>
      </c>
      <c r="B393" s="41" t="s">
        <v>560</v>
      </c>
      <c r="C393" s="78" t="s">
        <v>1035</v>
      </c>
      <c r="D393" s="94"/>
      <c r="E393" s="42" t="s">
        <v>560</v>
      </c>
      <c r="F393" s="42" t="str">
        <f t="shared" ref="F393:F409" si="7">IF(ISNUMBER(E393),ROUND(E393*$D393,2),"")</f>
        <v/>
      </c>
      <c r="G393" s="29"/>
      <c r="H393" s="30"/>
      <c r="I393" s="156">
        <v>0</v>
      </c>
    </row>
    <row r="394" spans="1:9" ht="15" hidden="1" thickBot="1" x14ac:dyDescent="0.35">
      <c r="A394" s="243"/>
      <c r="B394" s="32" t="s">
        <v>560</v>
      </c>
      <c r="C394" s="79"/>
      <c r="D394" s="92"/>
      <c r="E394" s="98" t="s">
        <v>560</v>
      </c>
      <c r="F394" s="99" t="str">
        <f t="shared" si="7"/>
        <v/>
      </c>
      <c r="G394" s="35"/>
      <c r="H394" s="31"/>
      <c r="I394" s="156">
        <v>0</v>
      </c>
    </row>
    <row r="395" spans="1:9" ht="27" hidden="1" thickBot="1" x14ac:dyDescent="0.35">
      <c r="A395" s="243"/>
      <c r="B395" s="36" t="s">
        <v>2036</v>
      </c>
      <c r="C395" s="50" t="s">
        <v>515</v>
      </c>
      <c r="D395" s="37">
        <v>4.4320000000000004</v>
      </c>
      <c r="E395" s="34">
        <v>2.1589999999999998</v>
      </c>
      <c r="F395" s="34">
        <f t="shared" si="7"/>
        <v>9.57</v>
      </c>
      <c r="G395" s="45">
        <f>SUM(F395:F401)</f>
        <v>172.72</v>
      </c>
      <c r="H395" s="46"/>
      <c r="I395" s="156">
        <v>0</v>
      </c>
    </row>
    <row r="396" spans="1:9" ht="15" hidden="1" thickBot="1" x14ac:dyDescent="0.35">
      <c r="A396" s="243"/>
      <c r="B396" s="36" t="s">
        <v>1434</v>
      </c>
      <c r="C396" s="50" t="s">
        <v>939</v>
      </c>
      <c r="D396" s="37">
        <v>8.5999999999999993E-2</v>
      </c>
      <c r="E396" s="34">
        <v>17.203999999999997</v>
      </c>
      <c r="F396" s="34">
        <f t="shared" si="7"/>
        <v>1.48</v>
      </c>
      <c r="G396" s="45"/>
      <c r="H396" s="46"/>
      <c r="I396" s="156">
        <v>0</v>
      </c>
    </row>
    <row r="397" spans="1:9" ht="27" hidden="1" thickBot="1" x14ac:dyDescent="0.35">
      <c r="A397" s="243"/>
      <c r="B397" s="36" t="s">
        <v>2065</v>
      </c>
      <c r="C397" s="50" t="s">
        <v>515</v>
      </c>
      <c r="D397" s="37">
        <v>6.53</v>
      </c>
      <c r="E397" s="31">
        <v>21.819500000000001</v>
      </c>
      <c r="F397" s="34">
        <f t="shared" si="7"/>
        <v>142.47999999999999</v>
      </c>
      <c r="G397" s="45"/>
      <c r="H397" s="46"/>
      <c r="I397" s="156">
        <v>0</v>
      </c>
    </row>
    <row r="398" spans="1:9" ht="15" hidden="1" thickBot="1" x14ac:dyDescent="0.35">
      <c r="A398" s="243"/>
      <c r="B398" s="36" t="s">
        <v>827</v>
      </c>
      <c r="C398" s="50" t="s">
        <v>744</v>
      </c>
      <c r="D398" s="37">
        <v>0.14299999999999999</v>
      </c>
      <c r="E398" s="31">
        <v>16.966000000000001</v>
      </c>
      <c r="F398" s="34">
        <f t="shared" si="7"/>
        <v>2.4300000000000002</v>
      </c>
      <c r="G398" s="45"/>
      <c r="H398" s="46"/>
      <c r="I398" s="156">
        <v>0</v>
      </c>
    </row>
    <row r="399" spans="1:9" ht="15" hidden="1" thickBot="1" x14ac:dyDescent="0.35">
      <c r="A399" s="243"/>
      <c r="B399" s="36" t="s">
        <v>1036</v>
      </c>
      <c r="C399" s="50" t="s">
        <v>744</v>
      </c>
      <c r="D399" s="37">
        <v>0.71499999999999997</v>
      </c>
      <c r="E399" s="31">
        <v>20.128</v>
      </c>
      <c r="F399" s="34">
        <f t="shared" si="7"/>
        <v>14.39</v>
      </c>
      <c r="G399" s="45"/>
      <c r="H399" s="46"/>
      <c r="I399" s="156">
        <v>0</v>
      </c>
    </row>
    <row r="400" spans="1:9" ht="27" hidden="1" thickBot="1" x14ac:dyDescent="0.35">
      <c r="A400" s="243"/>
      <c r="B400" s="36" t="s">
        <v>1208</v>
      </c>
      <c r="C400" s="50" t="s">
        <v>983</v>
      </c>
      <c r="D400" s="37">
        <v>0.05</v>
      </c>
      <c r="E400" s="31">
        <v>17.807499999999997</v>
      </c>
      <c r="F400" s="34">
        <f t="shared" si="7"/>
        <v>0.89</v>
      </c>
      <c r="G400" s="45"/>
      <c r="H400" s="46"/>
      <c r="I400" s="156">
        <v>0</v>
      </c>
    </row>
    <row r="401" spans="1:9" ht="27" hidden="1" thickBot="1" x14ac:dyDescent="0.35">
      <c r="A401" s="243"/>
      <c r="B401" s="36" t="s">
        <v>1209</v>
      </c>
      <c r="C401" s="50" t="s">
        <v>985</v>
      </c>
      <c r="D401" s="37">
        <v>9.2999999999999999E-2</v>
      </c>
      <c r="E401" s="34">
        <v>15.911999999999999</v>
      </c>
      <c r="F401" s="34">
        <f t="shared" si="7"/>
        <v>1.48</v>
      </c>
      <c r="G401" s="45"/>
      <c r="H401" s="46"/>
      <c r="I401" s="156">
        <v>0</v>
      </c>
    </row>
    <row r="402" spans="1:9" ht="15" hidden="1" thickBot="1" x14ac:dyDescent="0.35">
      <c r="A402" s="245"/>
      <c r="B402" s="104"/>
      <c r="C402" s="80"/>
      <c r="D402" s="96"/>
      <c r="E402" s="67" t="s">
        <v>560</v>
      </c>
      <c r="F402" s="67" t="str">
        <f t="shared" si="7"/>
        <v/>
      </c>
      <c r="G402" s="69"/>
      <c r="H402" s="31"/>
      <c r="I402" s="156">
        <v>0</v>
      </c>
    </row>
    <row r="403" spans="1:9" ht="26.25" hidden="1" customHeight="1" thickBot="1" x14ac:dyDescent="0.35">
      <c r="A403" s="244" t="s">
        <v>1688</v>
      </c>
      <c r="B403" s="41" t="s">
        <v>560</v>
      </c>
      <c r="C403" s="78" t="s">
        <v>122</v>
      </c>
      <c r="D403" s="94"/>
      <c r="E403" s="42" t="s">
        <v>560</v>
      </c>
      <c r="F403" s="42" t="str">
        <f t="shared" si="7"/>
        <v/>
      </c>
      <c r="G403" s="29"/>
      <c r="H403" s="30"/>
      <c r="I403" s="156">
        <v>0</v>
      </c>
    </row>
    <row r="404" spans="1:9" ht="15" hidden="1" thickBot="1" x14ac:dyDescent="0.35">
      <c r="A404" s="243"/>
      <c r="B404" s="32" t="s">
        <v>560</v>
      </c>
      <c r="C404" s="79"/>
      <c r="D404" s="92"/>
      <c r="E404" s="98" t="s">
        <v>560</v>
      </c>
      <c r="F404" s="99" t="str">
        <f t="shared" si="7"/>
        <v/>
      </c>
      <c r="G404" s="35"/>
      <c r="H404" s="31"/>
      <c r="I404" s="156">
        <v>0</v>
      </c>
    </row>
    <row r="405" spans="1:9" ht="27" hidden="1" thickBot="1" x14ac:dyDescent="0.35">
      <c r="A405" s="243"/>
      <c r="B405" s="36" t="s">
        <v>1349</v>
      </c>
      <c r="C405" s="50" t="s">
        <v>122</v>
      </c>
      <c r="D405" s="37">
        <v>0.95</v>
      </c>
      <c r="E405" s="34">
        <v>119.34</v>
      </c>
      <c r="F405" s="34">
        <f t="shared" si="7"/>
        <v>113.37</v>
      </c>
      <c r="G405" s="45">
        <f>SUM(F405:F413)</f>
        <v>419.50610394249998</v>
      </c>
      <c r="H405" s="46"/>
      <c r="I405" s="156">
        <v>0</v>
      </c>
    </row>
    <row r="406" spans="1:9" ht="15" hidden="1" thickBot="1" x14ac:dyDescent="0.35">
      <c r="A406" s="243"/>
      <c r="B406" s="36" t="s">
        <v>789</v>
      </c>
      <c r="C406" s="50" t="s">
        <v>939</v>
      </c>
      <c r="D406" s="37">
        <v>426.49</v>
      </c>
      <c r="E406" s="34">
        <v>0.46750000000000003</v>
      </c>
      <c r="F406" s="34">
        <f t="shared" si="7"/>
        <v>199.38</v>
      </c>
      <c r="G406" s="45"/>
      <c r="H406" s="46"/>
      <c r="I406" s="156">
        <v>0</v>
      </c>
    </row>
    <row r="407" spans="1:9" ht="27" hidden="1" thickBot="1" x14ac:dyDescent="0.35">
      <c r="A407" s="243"/>
      <c r="B407" s="36" t="s">
        <v>1513</v>
      </c>
      <c r="C407" s="50" t="s">
        <v>744</v>
      </c>
      <c r="D407" s="37">
        <v>4.32</v>
      </c>
      <c r="E407" s="31">
        <v>15.147</v>
      </c>
      <c r="F407" s="34">
        <f t="shared" si="7"/>
        <v>65.44</v>
      </c>
      <c r="G407" s="45"/>
      <c r="H407" s="46"/>
      <c r="I407" s="156">
        <v>0</v>
      </c>
    </row>
    <row r="408" spans="1:9" ht="40.200000000000003" hidden="1" thickBot="1" x14ac:dyDescent="0.35">
      <c r="A408" s="243"/>
      <c r="B408" s="36" t="s">
        <v>119</v>
      </c>
      <c r="C408" s="50" t="s">
        <v>983</v>
      </c>
      <c r="D408" s="37">
        <v>1.01</v>
      </c>
      <c r="E408" s="31">
        <v>1.2324999999999999</v>
      </c>
      <c r="F408" s="34">
        <f t="shared" si="7"/>
        <v>1.24</v>
      </c>
      <c r="G408" s="45"/>
      <c r="H408" s="46"/>
      <c r="I408" s="156">
        <v>0</v>
      </c>
    </row>
    <row r="409" spans="1:9" ht="40.200000000000003" hidden="1" thickBot="1" x14ac:dyDescent="0.35">
      <c r="A409" s="243"/>
      <c r="B409" s="36" t="s">
        <v>120</v>
      </c>
      <c r="C409" s="50" t="s">
        <v>985</v>
      </c>
      <c r="D409" s="37">
        <v>3.31</v>
      </c>
      <c r="E409" s="31">
        <v>0.27200000000000002</v>
      </c>
      <c r="F409" s="34">
        <f t="shared" si="7"/>
        <v>0.9</v>
      </c>
      <c r="G409" s="45"/>
      <c r="H409" s="46"/>
      <c r="I409" s="156">
        <v>0</v>
      </c>
    </row>
    <row r="410" spans="1:9" ht="53.4" hidden="1" thickBot="1" x14ac:dyDescent="0.35">
      <c r="A410" s="243"/>
      <c r="B410" s="36" t="s">
        <v>1931</v>
      </c>
      <c r="C410" s="36" t="s">
        <v>122</v>
      </c>
      <c r="D410" s="37">
        <f>ROUND(1*(D405),4)</f>
        <v>0.95</v>
      </c>
      <c r="E410" s="31">
        <v>5.4507091499999989</v>
      </c>
      <c r="F410" s="34">
        <f>IF(ISNUMBER(E410),E410*$D410,"")</f>
        <v>5.1781736924999988</v>
      </c>
      <c r="G410" s="45"/>
      <c r="H410" s="46"/>
      <c r="I410" s="156">
        <v>0</v>
      </c>
    </row>
    <row r="411" spans="1:9" ht="27" hidden="1" thickBot="1" x14ac:dyDescent="0.35">
      <c r="A411" s="243"/>
      <c r="B411" s="36" t="s">
        <v>1930</v>
      </c>
      <c r="C411" s="47" t="s">
        <v>124</v>
      </c>
      <c r="D411" s="37">
        <f>ROUND(D405*20,4)</f>
        <v>19</v>
      </c>
      <c r="E411" s="31">
        <v>1.7893647499999998</v>
      </c>
      <c r="F411" s="34">
        <f>IF(ISNUMBER(E411),E411*$D411,"")</f>
        <v>33.997930249999996</v>
      </c>
      <c r="G411" s="45"/>
      <c r="H411" s="46"/>
      <c r="I411" s="156">
        <v>0</v>
      </c>
    </row>
    <row r="412" spans="1:9" ht="15" hidden="1" thickBot="1" x14ac:dyDescent="0.35">
      <c r="A412" s="243"/>
      <c r="B412" s="51"/>
      <c r="C412" s="131"/>
      <c r="D412" s="37"/>
      <c r="E412" s="31" t="s">
        <v>560</v>
      </c>
      <c r="F412" s="34" t="str">
        <f t="shared" ref="F412:F421" si="8">IF(ISNUMBER(E412),ROUND(E412*$D412,2),"")</f>
        <v/>
      </c>
      <c r="G412" s="45"/>
      <c r="H412" s="46"/>
      <c r="I412" s="156">
        <v>0</v>
      </c>
    </row>
    <row r="413" spans="1:9" ht="15" hidden="1" thickBot="1" x14ac:dyDescent="0.35">
      <c r="A413" s="243"/>
      <c r="B413" s="48" t="s">
        <v>796</v>
      </c>
      <c r="C413" s="131"/>
      <c r="D413" s="37"/>
      <c r="E413" s="31" t="s">
        <v>560</v>
      </c>
      <c r="F413" s="34" t="str">
        <f t="shared" si="8"/>
        <v/>
      </c>
      <c r="G413" s="45"/>
      <c r="H413" s="46"/>
      <c r="I413" s="156">
        <v>0</v>
      </c>
    </row>
    <row r="414" spans="1:9" ht="15" hidden="1" thickBot="1" x14ac:dyDescent="0.35">
      <c r="A414" s="245"/>
      <c r="B414" s="104"/>
      <c r="C414" s="80"/>
      <c r="D414" s="96"/>
      <c r="E414" s="67" t="s">
        <v>560</v>
      </c>
      <c r="F414" s="67" t="str">
        <f t="shared" si="8"/>
        <v/>
      </c>
      <c r="G414" s="69"/>
      <c r="H414" s="31"/>
      <c r="I414" s="156">
        <v>0</v>
      </c>
    </row>
    <row r="415" spans="1:9" ht="26.25" hidden="1" customHeight="1" thickBot="1" x14ac:dyDescent="0.35">
      <c r="A415" s="244" t="s">
        <v>1687</v>
      </c>
      <c r="B415" s="41" t="s">
        <v>560</v>
      </c>
      <c r="C415" s="78" t="s">
        <v>122</v>
      </c>
      <c r="D415" s="94"/>
      <c r="E415" s="42" t="s">
        <v>560</v>
      </c>
      <c r="F415" s="42" t="str">
        <f t="shared" si="8"/>
        <v/>
      </c>
      <c r="G415" s="29"/>
      <c r="H415" s="30"/>
      <c r="I415" s="156">
        <v>0</v>
      </c>
    </row>
    <row r="416" spans="1:9" ht="15" hidden="1" thickBot="1" x14ac:dyDescent="0.35">
      <c r="A416" s="243"/>
      <c r="B416" s="32" t="s">
        <v>560</v>
      </c>
      <c r="C416" s="79"/>
      <c r="D416" s="92"/>
      <c r="E416" s="98" t="s">
        <v>560</v>
      </c>
      <c r="F416" s="99" t="str">
        <f t="shared" si="8"/>
        <v/>
      </c>
      <c r="G416" s="35"/>
      <c r="H416" s="31"/>
      <c r="I416" s="156">
        <v>0</v>
      </c>
    </row>
    <row r="417" spans="1:9" ht="27" hidden="1" thickBot="1" x14ac:dyDescent="0.35">
      <c r="A417" s="243"/>
      <c r="B417" s="36" t="s">
        <v>1349</v>
      </c>
      <c r="C417" s="50" t="s">
        <v>122</v>
      </c>
      <c r="D417" s="37">
        <v>1.27</v>
      </c>
      <c r="E417" s="34">
        <v>119.34</v>
      </c>
      <c r="F417" s="34">
        <f t="shared" si="8"/>
        <v>151.56</v>
      </c>
      <c r="G417" s="45">
        <f>SUM(F417:F425)</f>
        <v>541.23226527049997</v>
      </c>
      <c r="H417" s="46"/>
      <c r="I417" s="156">
        <v>0</v>
      </c>
    </row>
    <row r="418" spans="1:9" ht="15" hidden="1" thickBot="1" x14ac:dyDescent="0.35">
      <c r="A418" s="243"/>
      <c r="B418" s="36" t="s">
        <v>789</v>
      </c>
      <c r="C418" s="50" t="s">
        <v>939</v>
      </c>
      <c r="D418" s="37">
        <v>573.61</v>
      </c>
      <c r="E418" s="34">
        <v>0.46750000000000003</v>
      </c>
      <c r="F418" s="34">
        <f t="shared" si="8"/>
        <v>268.16000000000003</v>
      </c>
      <c r="G418" s="45"/>
      <c r="H418" s="46"/>
      <c r="I418" s="156">
        <v>0</v>
      </c>
    </row>
    <row r="419" spans="1:9" ht="27" hidden="1" thickBot="1" x14ac:dyDescent="0.35">
      <c r="A419" s="243"/>
      <c r="B419" s="36" t="s">
        <v>1513</v>
      </c>
      <c r="C419" s="50" t="s">
        <v>744</v>
      </c>
      <c r="D419" s="37">
        <v>4.42</v>
      </c>
      <c r="E419" s="31">
        <v>15.147</v>
      </c>
      <c r="F419" s="34">
        <f t="shared" si="8"/>
        <v>66.95</v>
      </c>
      <c r="G419" s="45"/>
      <c r="H419" s="46"/>
      <c r="I419" s="156">
        <v>0</v>
      </c>
    </row>
    <row r="420" spans="1:9" ht="40.200000000000003" hidden="1" thickBot="1" x14ac:dyDescent="0.35">
      <c r="A420" s="243"/>
      <c r="B420" s="36" t="s">
        <v>119</v>
      </c>
      <c r="C420" s="50" t="s">
        <v>983</v>
      </c>
      <c r="D420" s="37">
        <v>1.03</v>
      </c>
      <c r="E420" s="31">
        <v>1.2324999999999999</v>
      </c>
      <c r="F420" s="34">
        <f t="shared" si="8"/>
        <v>1.27</v>
      </c>
      <c r="G420" s="45"/>
      <c r="H420" s="46"/>
      <c r="I420" s="156">
        <v>0</v>
      </c>
    </row>
    <row r="421" spans="1:9" ht="40.200000000000003" hidden="1" thickBot="1" x14ac:dyDescent="0.35">
      <c r="A421" s="243"/>
      <c r="B421" s="36" t="s">
        <v>120</v>
      </c>
      <c r="C421" s="50" t="s">
        <v>985</v>
      </c>
      <c r="D421" s="37">
        <v>3.39</v>
      </c>
      <c r="E421" s="31">
        <v>0.27200000000000002</v>
      </c>
      <c r="F421" s="34">
        <f t="shared" si="8"/>
        <v>0.92</v>
      </c>
      <c r="G421" s="45"/>
      <c r="H421" s="46"/>
      <c r="I421" s="156">
        <v>0</v>
      </c>
    </row>
    <row r="422" spans="1:9" ht="53.4" hidden="1" thickBot="1" x14ac:dyDescent="0.35">
      <c r="A422" s="243"/>
      <c r="B422" s="36" t="s">
        <v>1931</v>
      </c>
      <c r="C422" s="36" t="s">
        <v>122</v>
      </c>
      <c r="D422" s="37">
        <f>ROUND(1*(D417),4)</f>
        <v>1.27</v>
      </c>
      <c r="E422" s="31">
        <v>5.4507091499999989</v>
      </c>
      <c r="F422" s="34">
        <f>IF(ISNUMBER(E422),E422*$D422,"")</f>
        <v>6.9224006204999986</v>
      </c>
      <c r="G422" s="45"/>
      <c r="H422" s="46"/>
      <c r="I422" s="156">
        <v>0</v>
      </c>
    </row>
    <row r="423" spans="1:9" ht="27" hidden="1" thickBot="1" x14ac:dyDescent="0.35">
      <c r="A423" s="243"/>
      <c r="B423" s="36" t="s">
        <v>1930</v>
      </c>
      <c r="C423" s="47" t="s">
        <v>124</v>
      </c>
      <c r="D423" s="37">
        <f>ROUND(D417*20,4)</f>
        <v>25.4</v>
      </c>
      <c r="E423" s="31">
        <v>1.7893647499999998</v>
      </c>
      <c r="F423" s="34">
        <f>IF(ISNUMBER(E423),E423*$D423,"")</f>
        <v>45.449864649999995</v>
      </c>
      <c r="G423" s="45"/>
      <c r="H423" s="46"/>
      <c r="I423" s="156">
        <v>0</v>
      </c>
    </row>
    <row r="424" spans="1:9" ht="15" hidden="1" thickBot="1" x14ac:dyDescent="0.35">
      <c r="A424" s="243"/>
      <c r="B424" s="51"/>
      <c r="C424" s="131"/>
      <c r="D424" s="37"/>
      <c r="E424" s="31" t="s">
        <v>560</v>
      </c>
      <c r="F424" s="34" t="str">
        <f t="shared" ref="F424:F432" si="9">IF(ISNUMBER(E424),ROUND(E424*$D424,2),"")</f>
        <v/>
      </c>
      <c r="G424" s="45"/>
      <c r="H424" s="46"/>
      <c r="I424" s="156">
        <v>0</v>
      </c>
    </row>
    <row r="425" spans="1:9" ht="24.9" hidden="1" customHeight="1" x14ac:dyDescent="0.3">
      <c r="A425" s="243"/>
      <c r="B425" s="48" t="s">
        <v>796</v>
      </c>
      <c r="C425" s="131"/>
      <c r="D425" s="37"/>
      <c r="E425" s="31" t="s">
        <v>560</v>
      </c>
      <c r="F425" s="34" t="str">
        <f t="shared" si="9"/>
        <v/>
      </c>
      <c r="G425" s="45"/>
      <c r="H425" s="46"/>
      <c r="I425" s="156">
        <v>0</v>
      </c>
    </row>
    <row r="426" spans="1:9" ht="15" hidden="1" thickBot="1" x14ac:dyDescent="0.35">
      <c r="A426" s="245"/>
      <c r="B426" s="104"/>
      <c r="C426" s="80"/>
      <c r="D426" s="96"/>
      <c r="E426" s="67" t="s">
        <v>560</v>
      </c>
      <c r="F426" s="67" t="str">
        <f t="shared" si="9"/>
        <v/>
      </c>
      <c r="G426" s="69"/>
      <c r="H426" s="31"/>
      <c r="I426" s="156">
        <v>0</v>
      </c>
    </row>
    <row r="427" spans="1:9" ht="26.25" hidden="1" customHeight="1" thickBot="1" x14ac:dyDescent="0.35">
      <c r="A427" s="244" t="s">
        <v>1689</v>
      </c>
      <c r="B427" s="41" t="s">
        <v>560</v>
      </c>
      <c r="C427" s="78" t="s">
        <v>122</v>
      </c>
      <c r="D427" s="94"/>
      <c r="E427" s="42" t="s">
        <v>560</v>
      </c>
      <c r="F427" s="42" t="str">
        <f t="shared" si="9"/>
        <v/>
      </c>
      <c r="G427" s="29"/>
      <c r="H427" s="30"/>
      <c r="I427" s="156">
        <v>0</v>
      </c>
    </row>
    <row r="428" spans="1:9" ht="15" hidden="1" thickBot="1" x14ac:dyDescent="0.35">
      <c r="A428" s="243"/>
      <c r="B428" s="32" t="s">
        <v>560</v>
      </c>
      <c r="C428" s="79"/>
      <c r="D428" s="92"/>
      <c r="E428" s="98" t="s">
        <v>560</v>
      </c>
      <c r="F428" s="99" t="str">
        <f t="shared" si="9"/>
        <v/>
      </c>
      <c r="G428" s="35"/>
      <c r="H428" s="31"/>
      <c r="I428" s="156">
        <v>0</v>
      </c>
    </row>
    <row r="429" spans="1:9" ht="27" hidden="1" thickBot="1" x14ac:dyDescent="0.35">
      <c r="A429" s="243"/>
      <c r="B429" s="36" t="s">
        <v>793</v>
      </c>
      <c r="C429" s="50" t="s">
        <v>122</v>
      </c>
      <c r="D429" s="37">
        <v>1.1599999999999999</v>
      </c>
      <c r="E429" s="34">
        <v>76.5</v>
      </c>
      <c r="F429" s="34">
        <f t="shared" si="9"/>
        <v>88.74</v>
      </c>
      <c r="G429" s="45">
        <f>SUM(F429:F436)</f>
        <v>520.10608481400004</v>
      </c>
      <c r="H429" s="46"/>
      <c r="I429" s="156">
        <v>0</v>
      </c>
    </row>
    <row r="430" spans="1:9" ht="15" hidden="1" thickBot="1" x14ac:dyDescent="0.35">
      <c r="A430" s="243"/>
      <c r="B430" s="36" t="s">
        <v>1515</v>
      </c>
      <c r="C430" s="50" t="s">
        <v>939</v>
      </c>
      <c r="D430" s="37">
        <v>116.4</v>
      </c>
      <c r="E430" s="34">
        <v>0.79899999999999993</v>
      </c>
      <c r="F430" s="34">
        <f t="shared" si="9"/>
        <v>93</v>
      </c>
      <c r="G430" s="45"/>
      <c r="H430" s="46"/>
      <c r="I430" s="156">
        <v>0</v>
      </c>
    </row>
    <row r="431" spans="1:9" ht="15" hidden="1" thickBot="1" x14ac:dyDescent="0.35">
      <c r="A431" s="243"/>
      <c r="B431" s="36" t="s">
        <v>789</v>
      </c>
      <c r="C431" s="50" t="s">
        <v>939</v>
      </c>
      <c r="D431" s="37">
        <v>261.89</v>
      </c>
      <c r="E431" s="31">
        <v>0.46750000000000003</v>
      </c>
      <c r="F431" s="34">
        <f t="shared" si="9"/>
        <v>122.43</v>
      </c>
      <c r="G431" s="45"/>
      <c r="H431" s="46"/>
      <c r="I431" s="156">
        <v>0</v>
      </c>
    </row>
    <row r="432" spans="1:9" ht="15" hidden="1" thickBot="1" x14ac:dyDescent="0.35">
      <c r="A432" s="243"/>
      <c r="B432" s="36" t="s">
        <v>745</v>
      </c>
      <c r="C432" s="50" t="s">
        <v>744</v>
      </c>
      <c r="D432" s="37">
        <v>11.23</v>
      </c>
      <c r="E432" s="31">
        <v>14.968499999999999</v>
      </c>
      <c r="F432" s="34">
        <f t="shared" si="9"/>
        <v>168.1</v>
      </c>
      <c r="G432" s="45"/>
      <c r="H432" s="46"/>
      <c r="I432" s="156">
        <v>0</v>
      </c>
    </row>
    <row r="433" spans="1:9" ht="53.4" hidden="1" thickBot="1" x14ac:dyDescent="0.35">
      <c r="A433" s="243"/>
      <c r="B433" s="36" t="s">
        <v>1931</v>
      </c>
      <c r="C433" s="36" t="s">
        <v>122</v>
      </c>
      <c r="D433" s="37">
        <f>ROUND(1*(D429),4)</f>
        <v>1.1599999999999999</v>
      </c>
      <c r="E433" s="31">
        <v>5.4507091499999989</v>
      </c>
      <c r="F433" s="34">
        <f>IF(ISNUMBER(E433),E433*$D433,"")</f>
        <v>6.3228226139999979</v>
      </c>
      <c r="G433" s="45"/>
      <c r="H433" s="46"/>
      <c r="I433" s="156">
        <v>0</v>
      </c>
    </row>
    <row r="434" spans="1:9" ht="27" hidden="1" thickBot="1" x14ac:dyDescent="0.35">
      <c r="A434" s="243"/>
      <c r="B434" s="36" t="s">
        <v>1930</v>
      </c>
      <c r="C434" s="47" t="s">
        <v>124</v>
      </c>
      <c r="D434" s="37">
        <f>ROUND(D429*20,4)</f>
        <v>23.2</v>
      </c>
      <c r="E434" s="31">
        <v>1.7893647499999998</v>
      </c>
      <c r="F434" s="34">
        <f>IF(ISNUMBER(E434),E434*$D434,"")</f>
        <v>41.513262199999993</v>
      </c>
      <c r="G434" s="45"/>
      <c r="H434" s="46"/>
      <c r="I434" s="156">
        <v>0</v>
      </c>
    </row>
    <row r="435" spans="1:9" ht="15" hidden="1" thickBot="1" x14ac:dyDescent="0.35">
      <c r="A435" s="243"/>
      <c r="B435" s="51"/>
      <c r="C435" s="131"/>
      <c r="D435" s="37"/>
      <c r="E435" s="31" t="s">
        <v>560</v>
      </c>
      <c r="F435" s="34" t="str">
        <f t="shared" ref="F435:F444" si="10">IF(ISNUMBER(E435),ROUND(E435*$D435,2),"")</f>
        <v/>
      </c>
      <c r="G435" s="45"/>
      <c r="H435" s="46"/>
      <c r="I435" s="156">
        <v>0</v>
      </c>
    </row>
    <row r="436" spans="1:9" ht="24.9" hidden="1" customHeight="1" x14ac:dyDescent="0.3">
      <c r="A436" s="243"/>
      <c r="B436" s="48" t="s">
        <v>796</v>
      </c>
      <c r="C436" s="131"/>
      <c r="D436" s="37"/>
      <c r="E436" s="31" t="s">
        <v>560</v>
      </c>
      <c r="F436" s="34" t="str">
        <f t="shared" si="10"/>
        <v/>
      </c>
      <c r="G436" s="45"/>
      <c r="H436" s="46"/>
      <c r="I436" s="156">
        <v>0</v>
      </c>
    </row>
    <row r="437" spans="1:9" ht="15" hidden="1" thickBot="1" x14ac:dyDescent="0.35">
      <c r="A437" s="245"/>
      <c r="B437" s="104"/>
      <c r="C437" s="80"/>
      <c r="D437" s="96"/>
      <c r="E437" s="67" t="s">
        <v>560</v>
      </c>
      <c r="F437" s="67" t="str">
        <f t="shared" si="10"/>
        <v/>
      </c>
      <c r="G437" s="69"/>
      <c r="H437" s="31"/>
      <c r="I437" s="156">
        <v>0</v>
      </c>
    </row>
    <row r="438" spans="1:9" ht="26.25" customHeight="1" thickBot="1" x14ac:dyDescent="0.35">
      <c r="A438" s="244" t="s">
        <v>1690</v>
      </c>
      <c r="B438" s="41" t="s">
        <v>560</v>
      </c>
      <c r="C438" s="78" t="s">
        <v>122</v>
      </c>
      <c r="D438" s="94"/>
      <c r="E438" s="42" t="s">
        <v>560</v>
      </c>
      <c r="F438" s="42" t="str">
        <f t="shared" si="10"/>
        <v/>
      </c>
      <c r="G438" s="29"/>
      <c r="H438" s="30"/>
      <c r="I438" s="156">
        <v>1.8149</v>
      </c>
    </row>
    <row r="439" spans="1:9" x14ac:dyDescent="0.3">
      <c r="A439" s="243"/>
      <c r="B439" s="32" t="s">
        <v>560</v>
      </c>
      <c r="C439" s="79"/>
      <c r="D439" s="92"/>
      <c r="E439" s="98" t="s">
        <v>560</v>
      </c>
      <c r="F439" s="99" t="str">
        <f t="shared" si="10"/>
        <v/>
      </c>
      <c r="G439" s="35"/>
      <c r="H439" s="31"/>
      <c r="I439" s="156">
        <v>1.8149</v>
      </c>
    </row>
    <row r="440" spans="1:9" ht="26.4" x14ac:dyDescent="0.3">
      <c r="A440" s="243"/>
      <c r="B440" s="36" t="s">
        <v>793</v>
      </c>
      <c r="C440" s="50" t="s">
        <v>122</v>
      </c>
      <c r="D440" s="37">
        <v>1.07</v>
      </c>
      <c r="E440" s="34">
        <v>76.5</v>
      </c>
      <c r="F440" s="34">
        <f t="shared" si="10"/>
        <v>81.86</v>
      </c>
      <c r="G440" s="45">
        <f>SUM(F440:F448)</f>
        <v>405.61466444050001</v>
      </c>
      <c r="H440" s="46"/>
      <c r="I440" s="156">
        <v>1.8149</v>
      </c>
    </row>
    <row r="441" spans="1:9" x14ac:dyDescent="0.3">
      <c r="A441" s="243"/>
      <c r="B441" s="36" t="s">
        <v>789</v>
      </c>
      <c r="C441" s="50" t="s">
        <v>939</v>
      </c>
      <c r="D441" s="37">
        <v>483.7</v>
      </c>
      <c r="E441" s="34">
        <v>0.46750000000000003</v>
      </c>
      <c r="F441" s="34">
        <f t="shared" si="10"/>
        <v>226.13</v>
      </c>
      <c r="G441" s="45"/>
      <c r="H441" s="46"/>
      <c r="I441" s="156">
        <v>1.8149</v>
      </c>
    </row>
    <row r="442" spans="1:9" ht="26.4" x14ac:dyDescent="0.3">
      <c r="A442" s="243"/>
      <c r="B442" s="36" t="s">
        <v>1513</v>
      </c>
      <c r="C442" s="50" t="s">
        <v>744</v>
      </c>
      <c r="D442" s="37">
        <v>3.42</v>
      </c>
      <c r="E442" s="31">
        <v>15.147</v>
      </c>
      <c r="F442" s="34">
        <f t="shared" si="10"/>
        <v>51.8</v>
      </c>
      <c r="G442" s="45"/>
      <c r="H442" s="46"/>
      <c r="I442" s="156">
        <v>1.8149</v>
      </c>
    </row>
    <row r="443" spans="1:9" ht="39.6" x14ac:dyDescent="0.3">
      <c r="A443" s="243"/>
      <c r="B443" s="36" t="s">
        <v>119</v>
      </c>
      <c r="C443" s="50" t="s">
        <v>983</v>
      </c>
      <c r="D443" s="37">
        <v>0.8</v>
      </c>
      <c r="E443" s="31">
        <v>1.2324999999999999</v>
      </c>
      <c r="F443" s="34">
        <f t="shared" si="10"/>
        <v>0.99</v>
      </c>
      <c r="G443" s="45"/>
      <c r="H443" s="46"/>
      <c r="I443" s="156">
        <v>1.8149</v>
      </c>
    </row>
    <row r="444" spans="1:9" ht="39.6" x14ac:dyDescent="0.3">
      <c r="A444" s="243"/>
      <c r="B444" s="36" t="s">
        <v>120</v>
      </c>
      <c r="C444" s="50" t="s">
        <v>985</v>
      </c>
      <c r="D444" s="37">
        <v>2.62</v>
      </c>
      <c r="E444" s="31">
        <v>0.27200000000000002</v>
      </c>
      <c r="F444" s="34">
        <f t="shared" si="10"/>
        <v>0.71</v>
      </c>
      <c r="G444" s="45"/>
      <c r="H444" s="46"/>
      <c r="I444" s="156">
        <v>1.8149</v>
      </c>
    </row>
    <row r="445" spans="1:9" ht="52.8" x14ac:dyDescent="0.3">
      <c r="A445" s="243"/>
      <c r="B445" s="36" t="s">
        <v>1931</v>
      </c>
      <c r="C445" s="36" t="s">
        <v>122</v>
      </c>
      <c r="D445" s="37">
        <f>ROUND(1*(D440),4)</f>
        <v>1.07</v>
      </c>
      <c r="E445" s="31">
        <v>5.4507091499999989</v>
      </c>
      <c r="F445" s="34">
        <f>IF(ISNUMBER(E445),E445*$D445,"")</f>
        <v>5.8322587904999992</v>
      </c>
      <c r="G445" s="45"/>
      <c r="H445" s="46"/>
      <c r="I445" s="156">
        <v>1.8149</v>
      </c>
    </row>
    <row r="446" spans="1:9" ht="26.4" x14ac:dyDescent="0.3">
      <c r="A446" s="243"/>
      <c r="B446" s="36" t="s">
        <v>1930</v>
      </c>
      <c r="C446" s="47" t="s">
        <v>124</v>
      </c>
      <c r="D446" s="37">
        <f>ROUND(D440*20,4)</f>
        <v>21.4</v>
      </c>
      <c r="E446" s="31">
        <v>1.7893647499999998</v>
      </c>
      <c r="F446" s="34">
        <f>IF(ISNUMBER(E446),E446*$D446,"")</f>
        <v>38.292405649999992</v>
      </c>
      <c r="G446" s="45"/>
      <c r="H446" s="46"/>
      <c r="I446" s="156">
        <v>1.8149</v>
      </c>
    </row>
    <row r="447" spans="1:9" x14ac:dyDescent="0.3">
      <c r="A447" s="243"/>
      <c r="B447" s="51"/>
      <c r="C447" s="131"/>
      <c r="D447" s="37"/>
      <c r="E447" s="31" t="s">
        <v>560</v>
      </c>
      <c r="F447" s="34" t="str">
        <f t="shared" ref="F447:F456" si="11">IF(ISNUMBER(E447),ROUND(E447*$D447,2),"")</f>
        <v/>
      </c>
      <c r="G447" s="45"/>
      <c r="H447" s="46"/>
      <c r="I447" s="156">
        <v>1.8149</v>
      </c>
    </row>
    <row r="448" spans="1:9" ht="24.9" customHeight="1" x14ac:dyDescent="0.3">
      <c r="A448" s="243"/>
      <c r="B448" s="48" t="s">
        <v>796</v>
      </c>
      <c r="C448" s="131"/>
      <c r="D448" s="37"/>
      <c r="E448" s="31" t="s">
        <v>560</v>
      </c>
      <c r="F448" s="34" t="str">
        <f t="shared" si="11"/>
        <v/>
      </c>
      <c r="G448" s="45"/>
      <c r="H448" s="46"/>
      <c r="I448" s="156">
        <v>1.8149</v>
      </c>
    </row>
    <row r="449" spans="1:9" ht="15" thickBot="1" x14ac:dyDescent="0.35">
      <c r="A449" s="245"/>
      <c r="B449" s="104"/>
      <c r="C449" s="80"/>
      <c r="D449" s="96"/>
      <c r="E449" s="67" t="s">
        <v>560</v>
      </c>
      <c r="F449" s="67" t="str">
        <f t="shared" si="11"/>
        <v/>
      </c>
      <c r="G449" s="69"/>
      <c r="H449" s="31"/>
      <c r="I449" s="156">
        <v>1.8149</v>
      </c>
    </row>
    <row r="450" spans="1:9" ht="26.25" customHeight="1" thickBot="1" x14ac:dyDescent="0.35">
      <c r="A450" s="244" t="s">
        <v>1681</v>
      </c>
      <c r="B450" s="41" t="s">
        <v>560</v>
      </c>
      <c r="C450" s="78" t="s">
        <v>122</v>
      </c>
      <c r="D450" s="94"/>
      <c r="E450" s="42" t="s">
        <v>560</v>
      </c>
      <c r="F450" s="42" t="str">
        <f t="shared" si="11"/>
        <v/>
      </c>
      <c r="G450" s="29"/>
      <c r="H450" s="30"/>
      <c r="I450" s="156">
        <v>0.2576</v>
      </c>
    </row>
    <row r="451" spans="1:9" x14ac:dyDescent="0.3">
      <c r="A451" s="243"/>
      <c r="B451" s="32" t="s">
        <v>560</v>
      </c>
      <c r="C451" s="79"/>
      <c r="D451" s="92"/>
      <c r="E451" s="98" t="s">
        <v>560</v>
      </c>
      <c r="F451" s="99" t="str">
        <f t="shared" si="11"/>
        <v/>
      </c>
      <c r="G451" s="35"/>
      <c r="H451" s="31"/>
      <c r="I451" s="156">
        <v>0.2576</v>
      </c>
    </row>
    <row r="452" spans="1:9" ht="26.4" x14ac:dyDescent="0.3">
      <c r="A452" s="243"/>
      <c r="B452" s="36" t="s">
        <v>1203</v>
      </c>
      <c r="C452" s="50" t="s">
        <v>1035</v>
      </c>
      <c r="D452" s="37">
        <v>1.3111999999999999</v>
      </c>
      <c r="E452" s="34">
        <v>40.536499999999997</v>
      </c>
      <c r="F452" s="34">
        <f t="shared" si="11"/>
        <v>53.15</v>
      </c>
      <c r="G452" s="45">
        <f>SUM(F452:F467)</f>
        <v>1992.8877899993961</v>
      </c>
      <c r="H452" s="46"/>
      <c r="I452" s="156">
        <v>0.2576</v>
      </c>
    </row>
    <row r="453" spans="1:9" ht="26.4" x14ac:dyDescent="0.3">
      <c r="A453" s="243"/>
      <c r="B453" s="36" t="s">
        <v>1204</v>
      </c>
      <c r="C453" s="50" t="s">
        <v>103</v>
      </c>
      <c r="D453" s="37">
        <v>5.67E-2</v>
      </c>
      <c r="E453" s="34">
        <v>5.4824999999999999</v>
      </c>
      <c r="F453" s="34">
        <f t="shared" si="11"/>
        <v>0.31</v>
      </c>
      <c r="G453" s="45"/>
      <c r="H453" s="46"/>
      <c r="I453" s="156">
        <v>0.2576</v>
      </c>
    </row>
    <row r="454" spans="1:9" ht="26.4" x14ac:dyDescent="0.3">
      <c r="A454" s="243"/>
      <c r="B454" s="36" t="s">
        <v>2036</v>
      </c>
      <c r="C454" s="50" t="s">
        <v>515</v>
      </c>
      <c r="D454" s="37">
        <v>4.4770000000000003</v>
      </c>
      <c r="E454" s="31">
        <v>2.1589999999999998</v>
      </c>
      <c r="F454" s="34">
        <f t="shared" si="11"/>
        <v>9.67</v>
      </c>
      <c r="G454" s="45"/>
      <c r="H454" s="46"/>
      <c r="I454" s="156">
        <v>0.2576</v>
      </c>
    </row>
    <row r="455" spans="1:9" x14ac:dyDescent="0.3">
      <c r="A455" s="243"/>
      <c r="B455" s="36" t="s">
        <v>1205</v>
      </c>
      <c r="C455" s="50" t="s">
        <v>939</v>
      </c>
      <c r="D455" s="37">
        <v>0.26190000000000002</v>
      </c>
      <c r="E455" s="31">
        <v>19.048500000000001</v>
      </c>
      <c r="F455" s="34">
        <f t="shared" si="11"/>
        <v>4.99</v>
      </c>
      <c r="G455" s="45"/>
      <c r="H455" s="46"/>
      <c r="I455" s="156">
        <v>0.2576</v>
      </c>
    </row>
    <row r="456" spans="1:9" x14ac:dyDescent="0.3">
      <c r="A456" s="243"/>
      <c r="B456" s="36" t="s">
        <v>827</v>
      </c>
      <c r="C456" s="50" t="s">
        <v>744</v>
      </c>
      <c r="D456" s="37">
        <v>0.73560000000000003</v>
      </c>
      <c r="E456" s="31">
        <v>16.966000000000001</v>
      </c>
      <c r="F456" s="34">
        <f t="shared" si="11"/>
        <v>12.48</v>
      </c>
      <c r="G456" s="45"/>
      <c r="H456" s="46"/>
      <c r="I456" s="156">
        <v>0.2576</v>
      </c>
    </row>
    <row r="457" spans="1:9" x14ac:dyDescent="0.3">
      <c r="A457" s="243"/>
      <c r="B457" s="36" t="s">
        <v>743</v>
      </c>
      <c r="C457" s="36" t="s">
        <v>744</v>
      </c>
      <c r="D457" s="37">
        <v>3.6779999999999999</v>
      </c>
      <c r="E457" s="31">
        <v>20.161999999999999</v>
      </c>
      <c r="F457" s="34">
        <f t="shared" ref="F457:F465" si="12">IF(ISNUMBER(E457),E457*$D457,"")</f>
        <v>74.155835999999994</v>
      </c>
      <c r="G457" s="45"/>
      <c r="H457" s="46"/>
      <c r="I457" s="156">
        <v>0.2576</v>
      </c>
    </row>
    <row r="458" spans="1:9" x14ac:dyDescent="0.3">
      <c r="A458" s="243"/>
      <c r="B458" s="36" t="s">
        <v>752</v>
      </c>
      <c r="C458" s="36" t="s">
        <v>744</v>
      </c>
      <c r="D458" s="37">
        <v>22.888400000000001</v>
      </c>
      <c r="E458" s="31">
        <v>20.314999999999998</v>
      </c>
      <c r="F458" s="34">
        <f t="shared" si="12"/>
        <v>464.97784599999994</v>
      </c>
      <c r="G458" s="45"/>
      <c r="H458" s="46"/>
      <c r="I458" s="156">
        <v>0.2576</v>
      </c>
    </row>
    <row r="459" spans="1:9" x14ac:dyDescent="0.3">
      <c r="A459" s="243"/>
      <c r="B459" s="36" t="s">
        <v>745</v>
      </c>
      <c r="C459" s="36" t="s">
        <v>744</v>
      </c>
      <c r="D459" s="37">
        <v>22.888400000000001</v>
      </c>
      <c r="E459" s="31">
        <v>14.968499999999999</v>
      </c>
      <c r="F459" s="34">
        <f t="shared" si="12"/>
        <v>342.60501539999996</v>
      </c>
      <c r="G459" s="45"/>
      <c r="H459" s="46"/>
      <c r="I459" s="156">
        <v>0.2576</v>
      </c>
    </row>
    <row r="460" spans="1:9" ht="26.4" x14ac:dyDescent="0.3">
      <c r="A460" s="243"/>
      <c r="B460" s="36" t="s">
        <v>1206</v>
      </c>
      <c r="C460" s="36" t="s">
        <v>983</v>
      </c>
      <c r="D460" s="37">
        <v>4.7533000000000003</v>
      </c>
      <c r="E460" s="31">
        <v>1.343</v>
      </c>
      <c r="F460" s="34">
        <f t="shared" si="12"/>
        <v>6.3836819</v>
      </c>
      <c r="G460" s="45"/>
      <c r="H460" s="46"/>
      <c r="I460" s="156">
        <v>0.2576</v>
      </c>
    </row>
    <row r="461" spans="1:9" ht="26.4" x14ac:dyDescent="0.3">
      <c r="A461" s="243"/>
      <c r="B461" s="36" t="s">
        <v>1207</v>
      </c>
      <c r="C461" s="36" t="s">
        <v>985</v>
      </c>
      <c r="D461" s="37">
        <v>13.0715</v>
      </c>
      <c r="E461" s="31">
        <v>0.35699999999999998</v>
      </c>
      <c r="F461" s="34">
        <f t="shared" si="12"/>
        <v>4.6665254999999997</v>
      </c>
      <c r="G461" s="45"/>
      <c r="H461" s="46"/>
      <c r="I461" s="156">
        <v>0.2576</v>
      </c>
    </row>
    <row r="462" spans="1:9" ht="26.4" x14ac:dyDescent="0.3">
      <c r="A462" s="243"/>
      <c r="B462" s="36" t="s">
        <v>1208</v>
      </c>
      <c r="C462" s="36" t="s">
        <v>983</v>
      </c>
      <c r="D462" s="37">
        <v>0.313</v>
      </c>
      <c r="E462" s="31">
        <v>17.807499999999997</v>
      </c>
      <c r="F462" s="34">
        <f t="shared" si="12"/>
        <v>5.5737474999999996</v>
      </c>
      <c r="G462" s="45"/>
      <c r="H462" s="46"/>
      <c r="I462" s="156">
        <v>0.2576</v>
      </c>
    </row>
    <row r="463" spans="1:9" ht="26.4" x14ac:dyDescent="0.3">
      <c r="A463" s="243"/>
      <c r="B463" s="36" t="s">
        <v>1209</v>
      </c>
      <c r="C463" s="36" t="s">
        <v>985</v>
      </c>
      <c r="D463" s="37">
        <v>0.42259999999999998</v>
      </c>
      <c r="E463" s="31">
        <v>15.911999999999999</v>
      </c>
      <c r="F463" s="34">
        <f t="shared" si="12"/>
        <v>6.7244111999999996</v>
      </c>
      <c r="G463" s="45"/>
      <c r="H463" s="46"/>
      <c r="I463" s="156">
        <v>0.2576</v>
      </c>
    </row>
    <row r="464" spans="1:9" ht="39.6" x14ac:dyDescent="0.3">
      <c r="A464" s="243"/>
      <c r="B464" s="36" t="s">
        <v>1210</v>
      </c>
      <c r="C464" s="36" t="s">
        <v>939</v>
      </c>
      <c r="D464" s="37">
        <v>28.936900000000001</v>
      </c>
      <c r="E464" s="31">
        <v>17.867107100000002</v>
      </c>
      <c r="F464" s="34">
        <f t="shared" si="12"/>
        <v>517.01869144199009</v>
      </c>
      <c r="G464" s="45"/>
      <c r="H464" s="46"/>
      <c r="I464" s="156">
        <v>0.2576</v>
      </c>
    </row>
    <row r="465" spans="1:9" ht="26.4" x14ac:dyDescent="0.3">
      <c r="A465" s="243"/>
      <c r="B465" s="36" t="s">
        <v>1678</v>
      </c>
      <c r="C465" s="47" t="s">
        <v>122</v>
      </c>
      <c r="D465" s="37">
        <v>1.2</v>
      </c>
      <c r="E465" s="31">
        <v>408.485029214505</v>
      </c>
      <c r="F465" s="34">
        <f t="shared" si="12"/>
        <v>490.18203505740598</v>
      </c>
      <c r="G465" s="45"/>
      <c r="H465" s="46"/>
      <c r="I465" s="156">
        <v>0.2576</v>
      </c>
    </row>
    <row r="466" spans="1:9" x14ac:dyDescent="0.3">
      <c r="A466" s="243"/>
      <c r="B466" s="51"/>
      <c r="C466" s="131"/>
      <c r="D466" s="37"/>
      <c r="E466" s="31" t="s">
        <v>560</v>
      </c>
      <c r="F466" s="34" t="str">
        <f t="shared" ref="F466:F475" si="13">IF(ISNUMBER(E466),ROUND(E466*$D466,2),"")</f>
        <v/>
      </c>
      <c r="G466" s="45"/>
      <c r="H466" s="46"/>
      <c r="I466" s="156">
        <v>0.2576</v>
      </c>
    </row>
    <row r="467" spans="1:9" ht="24.9" customHeight="1" x14ac:dyDescent="0.3">
      <c r="A467" s="243"/>
      <c r="B467" s="48" t="s">
        <v>796</v>
      </c>
      <c r="C467" s="131"/>
      <c r="D467" s="37"/>
      <c r="E467" s="31" t="s">
        <v>560</v>
      </c>
      <c r="F467" s="34" t="str">
        <f t="shared" si="13"/>
        <v/>
      </c>
      <c r="G467" s="45"/>
      <c r="H467" s="46"/>
      <c r="I467" s="156">
        <v>0.2576</v>
      </c>
    </row>
    <row r="468" spans="1:9" ht="15" thickBot="1" x14ac:dyDescent="0.35">
      <c r="A468" s="245"/>
      <c r="B468" s="104"/>
      <c r="C468" s="80"/>
      <c r="D468" s="96"/>
      <c r="E468" s="67" t="s">
        <v>560</v>
      </c>
      <c r="F468" s="67" t="str">
        <f t="shared" si="13"/>
        <v/>
      </c>
      <c r="G468" s="69"/>
      <c r="H468" s="31"/>
      <c r="I468" s="156">
        <v>0.2576</v>
      </c>
    </row>
    <row r="469" spans="1:9" ht="26.25" customHeight="1" thickBot="1" x14ac:dyDescent="0.35">
      <c r="A469" s="244" t="s">
        <v>2022</v>
      </c>
      <c r="B469" s="41" t="s">
        <v>560</v>
      </c>
      <c r="C469" s="78" t="s">
        <v>122</v>
      </c>
      <c r="D469" s="94"/>
      <c r="E469" s="42" t="s">
        <v>560</v>
      </c>
      <c r="F469" s="42" t="str">
        <f t="shared" si="13"/>
        <v/>
      </c>
      <c r="G469" s="29"/>
      <c r="H469" s="30"/>
      <c r="I469" s="156">
        <v>0.24299999999999999</v>
      </c>
    </row>
    <row r="470" spans="1:9" x14ac:dyDescent="0.3">
      <c r="A470" s="243"/>
      <c r="B470" s="32" t="s">
        <v>560</v>
      </c>
      <c r="C470" s="79"/>
      <c r="D470" s="92"/>
      <c r="E470" s="98" t="s">
        <v>560</v>
      </c>
      <c r="F470" s="99" t="str">
        <f t="shared" si="13"/>
        <v/>
      </c>
      <c r="G470" s="35"/>
      <c r="H470" s="31"/>
      <c r="I470" s="156">
        <v>0.24299999999999999</v>
      </c>
    </row>
    <row r="471" spans="1:9" ht="26.4" x14ac:dyDescent="0.3">
      <c r="A471" s="243"/>
      <c r="B471" s="36" t="s">
        <v>798</v>
      </c>
      <c r="C471" s="50" t="s">
        <v>122</v>
      </c>
      <c r="D471" s="37">
        <v>1.1000000000000001</v>
      </c>
      <c r="E471" s="34">
        <v>129.10649999999998</v>
      </c>
      <c r="F471" s="34">
        <f t="shared" si="13"/>
        <v>142.02000000000001</v>
      </c>
      <c r="G471" s="45">
        <f>SUM(F471:F481)</f>
        <v>264.21254686499998</v>
      </c>
      <c r="H471" s="46"/>
      <c r="I471" s="156">
        <v>0.24299999999999999</v>
      </c>
    </row>
    <row r="472" spans="1:9" ht="52.8" x14ac:dyDescent="0.3">
      <c r="A472" s="243"/>
      <c r="B472" s="36" t="s">
        <v>1655</v>
      </c>
      <c r="C472" s="50" t="s">
        <v>983</v>
      </c>
      <c r="D472" s="37">
        <v>0.128</v>
      </c>
      <c r="E472" s="34">
        <v>90.414500000000004</v>
      </c>
      <c r="F472" s="34">
        <f t="shared" si="13"/>
        <v>11.57</v>
      </c>
      <c r="G472" s="45"/>
      <c r="H472" s="46"/>
      <c r="I472" s="156">
        <v>0.24299999999999999</v>
      </c>
    </row>
    <row r="473" spans="1:9" ht="52.8" x14ac:dyDescent="0.3">
      <c r="A473" s="243"/>
      <c r="B473" s="36" t="s">
        <v>1663</v>
      </c>
      <c r="C473" s="50" t="s">
        <v>985</v>
      </c>
      <c r="D473" s="37">
        <v>0.63980000000000004</v>
      </c>
      <c r="E473" s="31">
        <v>36.158999999999999</v>
      </c>
      <c r="F473" s="34">
        <f t="shared" si="13"/>
        <v>23.13</v>
      </c>
      <c r="G473" s="45"/>
      <c r="H473" s="46"/>
      <c r="I473" s="156">
        <v>0.24299999999999999</v>
      </c>
    </row>
    <row r="474" spans="1:9" x14ac:dyDescent="0.3">
      <c r="A474" s="243"/>
      <c r="B474" s="36" t="s">
        <v>752</v>
      </c>
      <c r="C474" s="50" t="s">
        <v>744</v>
      </c>
      <c r="D474" s="37">
        <v>0.92130000000000001</v>
      </c>
      <c r="E474" s="31">
        <v>20.314999999999998</v>
      </c>
      <c r="F474" s="34">
        <f t="shared" si="13"/>
        <v>18.72</v>
      </c>
      <c r="G474" s="45"/>
      <c r="H474" s="46"/>
      <c r="I474" s="156">
        <v>0.24299999999999999</v>
      </c>
    </row>
    <row r="475" spans="1:9" x14ac:dyDescent="0.3">
      <c r="A475" s="243"/>
      <c r="B475" s="36" t="s">
        <v>745</v>
      </c>
      <c r="C475" s="50" t="s">
        <v>744</v>
      </c>
      <c r="D475" s="37">
        <v>1.3818999999999999</v>
      </c>
      <c r="E475" s="31">
        <v>14.968499999999999</v>
      </c>
      <c r="F475" s="34">
        <f t="shared" si="13"/>
        <v>20.68</v>
      </c>
      <c r="G475" s="45"/>
      <c r="H475" s="46"/>
      <c r="I475" s="156">
        <v>0.24299999999999999</v>
      </c>
    </row>
    <row r="476" spans="1:9" ht="26.4" x14ac:dyDescent="0.3">
      <c r="A476" s="243"/>
      <c r="B476" s="36" t="s">
        <v>982</v>
      </c>
      <c r="C476" s="36" t="s">
        <v>983</v>
      </c>
      <c r="D476" s="37">
        <v>7.1800000000000003E-2</v>
      </c>
      <c r="E476" s="31">
        <v>22.728999999999999</v>
      </c>
      <c r="F476" s="34">
        <f>IF(ISNUMBER(E476),E476*$D476,"")</f>
        <v>1.6319421999999999</v>
      </c>
      <c r="G476" s="45"/>
      <c r="H476" s="46"/>
      <c r="I476" s="156">
        <v>0.24299999999999999</v>
      </c>
    </row>
    <row r="477" spans="1:9" ht="26.4" x14ac:dyDescent="0.3">
      <c r="A477" s="243"/>
      <c r="B477" s="36" t="s">
        <v>984</v>
      </c>
      <c r="C477" s="47" t="s">
        <v>985</v>
      </c>
      <c r="D477" s="37">
        <v>6.6600000000000006E-2</v>
      </c>
      <c r="E477" s="31">
        <v>16.4985</v>
      </c>
      <c r="F477" s="34">
        <f>IF(ISNUMBER(E477),E477*$D477,"")</f>
        <v>1.0988001000000001</v>
      </c>
      <c r="G477" s="45"/>
      <c r="H477" s="46"/>
      <c r="I477" s="156">
        <v>0.24299999999999999</v>
      </c>
    </row>
    <row r="478" spans="1:9" ht="52.8" x14ac:dyDescent="0.3">
      <c r="A478" s="243"/>
      <c r="B478" s="36" t="s">
        <v>1931</v>
      </c>
      <c r="C478" s="36" t="s">
        <v>122</v>
      </c>
      <c r="D478" s="37">
        <f>ROUND(1*(D471),4)</f>
        <v>1.1000000000000001</v>
      </c>
      <c r="E478" s="31">
        <v>5.4507091499999989</v>
      </c>
      <c r="F478" s="34">
        <f>IF(ISNUMBER(E478),E478*$D478,"")</f>
        <v>5.995780064999999</v>
      </c>
      <c r="G478" s="45"/>
      <c r="H478" s="46"/>
      <c r="I478" s="156">
        <v>0.24299999999999999</v>
      </c>
    </row>
    <row r="479" spans="1:9" ht="26.4" x14ac:dyDescent="0.3">
      <c r="A479" s="243"/>
      <c r="B479" s="36" t="s">
        <v>1930</v>
      </c>
      <c r="C479" s="47" t="s">
        <v>124</v>
      </c>
      <c r="D479" s="37">
        <f>ROUND(D471*20,4)</f>
        <v>22</v>
      </c>
      <c r="E479" s="31">
        <v>1.7893647499999998</v>
      </c>
      <c r="F479" s="34">
        <f>IF(ISNUMBER(E479),E479*$D479,"")</f>
        <v>39.366024499999995</v>
      </c>
      <c r="G479" s="45"/>
      <c r="H479" s="46"/>
      <c r="I479" s="156">
        <v>0.24299999999999999</v>
      </c>
    </row>
    <row r="480" spans="1:9" x14ac:dyDescent="0.3">
      <c r="A480" s="243"/>
      <c r="B480" s="51"/>
      <c r="C480" s="131"/>
      <c r="D480" s="37"/>
      <c r="E480" s="31" t="s">
        <v>560</v>
      </c>
      <c r="F480" s="34" t="str">
        <f t="shared" ref="F480:F489" si="14">IF(ISNUMBER(E480),ROUND(E480*$D480,2),"")</f>
        <v/>
      </c>
      <c r="G480" s="45"/>
      <c r="H480" s="46"/>
      <c r="I480" s="156">
        <v>0.24299999999999999</v>
      </c>
    </row>
    <row r="481" spans="1:9" ht="24.9" customHeight="1" x14ac:dyDescent="0.3">
      <c r="A481" s="243"/>
      <c r="B481" s="48" t="s">
        <v>796</v>
      </c>
      <c r="C481" s="131"/>
      <c r="D481" s="37"/>
      <c r="E481" s="31" t="s">
        <v>560</v>
      </c>
      <c r="F481" s="34" t="str">
        <f t="shared" si="14"/>
        <v/>
      </c>
      <c r="G481" s="45"/>
      <c r="H481" s="46"/>
      <c r="I481" s="156">
        <v>0.24299999999999999</v>
      </c>
    </row>
    <row r="482" spans="1:9" ht="15" thickBot="1" x14ac:dyDescent="0.35">
      <c r="A482" s="245"/>
      <c r="B482" s="104"/>
      <c r="C482" s="80"/>
      <c r="D482" s="96"/>
      <c r="E482" s="67" t="s">
        <v>560</v>
      </c>
      <c r="F482" s="67" t="str">
        <f t="shared" si="14"/>
        <v/>
      </c>
      <c r="G482" s="69"/>
      <c r="H482" s="31"/>
      <c r="I482" s="156">
        <v>0.24299999999999999</v>
      </c>
    </row>
    <row r="483" spans="1:9" ht="26.25" customHeight="1" thickBot="1" x14ac:dyDescent="0.35">
      <c r="A483" s="244" t="s">
        <v>1680</v>
      </c>
      <c r="B483" s="41" t="s">
        <v>560</v>
      </c>
      <c r="C483" s="78" t="s">
        <v>122</v>
      </c>
      <c r="D483" s="94"/>
      <c r="E483" s="42" t="s">
        <v>560</v>
      </c>
      <c r="F483" s="42" t="str">
        <f t="shared" si="14"/>
        <v/>
      </c>
      <c r="G483" s="29"/>
      <c r="H483" s="30"/>
      <c r="I483" s="156">
        <v>0.15750000000000003</v>
      </c>
    </row>
    <row r="484" spans="1:9" x14ac:dyDescent="0.3">
      <c r="A484" s="243"/>
      <c r="B484" s="32" t="s">
        <v>560</v>
      </c>
      <c r="C484" s="79"/>
      <c r="D484" s="92"/>
      <c r="E484" s="98" t="s">
        <v>560</v>
      </c>
      <c r="F484" s="99" t="str">
        <f t="shared" si="14"/>
        <v/>
      </c>
      <c r="G484" s="35"/>
      <c r="H484" s="31"/>
      <c r="I484" s="156">
        <v>0.15750000000000003</v>
      </c>
    </row>
    <row r="485" spans="1:9" ht="26.4" x14ac:dyDescent="0.3">
      <c r="A485" s="243"/>
      <c r="B485" s="36" t="s">
        <v>1203</v>
      </c>
      <c r="C485" s="50" t="s">
        <v>1035</v>
      </c>
      <c r="D485" s="37">
        <v>1.9403999999999999</v>
      </c>
      <c r="E485" s="34">
        <v>40.536499999999997</v>
      </c>
      <c r="F485" s="34">
        <f t="shared" si="14"/>
        <v>78.66</v>
      </c>
      <c r="G485" s="45">
        <f>SUM(F485:F500)</f>
        <v>2365.7194753549993</v>
      </c>
      <c r="H485" s="46"/>
      <c r="I485" s="156">
        <v>0.15750000000000003</v>
      </c>
    </row>
    <row r="486" spans="1:9" ht="26.4" x14ac:dyDescent="0.3">
      <c r="A486" s="243"/>
      <c r="B486" s="36" t="s">
        <v>1204</v>
      </c>
      <c r="C486" s="50" t="s">
        <v>103</v>
      </c>
      <c r="D486" s="37">
        <v>8.3299999999999999E-2</v>
      </c>
      <c r="E486" s="34">
        <v>5.4824999999999999</v>
      </c>
      <c r="F486" s="34">
        <f t="shared" si="14"/>
        <v>0.46</v>
      </c>
      <c r="G486" s="45"/>
      <c r="H486" s="46"/>
      <c r="I486" s="156">
        <v>0.15750000000000003</v>
      </c>
    </row>
    <row r="487" spans="1:9" ht="26.4" x14ac:dyDescent="0.3">
      <c r="A487" s="243"/>
      <c r="B487" s="36" t="s">
        <v>2036</v>
      </c>
      <c r="C487" s="50" t="s">
        <v>515</v>
      </c>
      <c r="D487" s="37">
        <v>5.6283000000000003</v>
      </c>
      <c r="E487" s="31">
        <v>2.1589999999999998</v>
      </c>
      <c r="F487" s="34">
        <f t="shared" si="14"/>
        <v>12.15</v>
      </c>
      <c r="G487" s="45"/>
      <c r="H487" s="46"/>
      <c r="I487" s="156">
        <v>0.15750000000000003</v>
      </c>
    </row>
    <row r="488" spans="1:9" x14ac:dyDescent="0.3">
      <c r="A488" s="243"/>
      <c r="B488" s="36" t="s">
        <v>1205</v>
      </c>
      <c r="C488" s="50" t="s">
        <v>939</v>
      </c>
      <c r="D488" s="37">
        <v>0.4365</v>
      </c>
      <c r="E488" s="31">
        <v>19.048500000000001</v>
      </c>
      <c r="F488" s="34">
        <f t="shared" si="14"/>
        <v>8.31</v>
      </c>
      <c r="G488" s="45"/>
      <c r="H488" s="46"/>
      <c r="I488" s="156">
        <v>0.15750000000000003</v>
      </c>
    </row>
    <row r="489" spans="1:9" x14ac:dyDescent="0.3">
      <c r="A489" s="243"/>
      <c r="B489" s="36" t="s">
        <v>827</v>
      </c>
      <c r="C489" s="50" t="s">
        <v>744</v>
      </c>
      <c r="D489" s="37">
        <v>1.1919999999999999</v>
      </c>
      <c r="E489" s="31">
        <v>16.966000000000001</v>
      </c>
      <c r="F489" s="34">
        <f t="shared" si="14"/>
        <v>20.22</v>
      </c>
      <c r="G489" s="45"/>
      <c r="H489" s="46"/>
      <c r="I489" s="156">
        <v>0.15750000000000003</v>
      </c>
    </row>
    <row r="490" spans="1:9" x14ac:dyDescent="0.3">
      <c r="A490" s="243"/>
      <c r="B490" s="36" t="s">
        <v>743</v>
      </c>
      <c r="C490" s="36" t="s">
        <v>744</v>
      </c>
      <c r="D490" s="37">
        <v>5.96</v>
      </c>
      <c r="E490" s="31">
        <v>20.161999999999999</v>
      </c>
      <c r="F490" s="34">
        <f t="shared" ref="F490:F498" si="15">IF(ISNUMBER(E490),E490*$D490,"")</f>
        <v>120.16551999999999</v>
      </c>
      <c r="G490" s="45"/>
      <c r="H490" s="46"/>
      <c r="I490" s="156">
        <v>0.15750000000000003</v>
      </c>
    </row>
    <row r="491" spans="1:9" x14ac:dyDescent="0.3">
      <c r="A491" s="243"/>
      <c r="B491" s="36" t="s">
        <v>752</v>
      </c>
      <c r="C491" s="36" t="s">
        <v>744</v>
      </c>
      <c r="D491" s="37">
        <v>31.5459</v>
      </c>
      <c r="E491" s="31">
        <v>20.314999999999998</v>
      </c>
      <c r="F491" s="34">
        <f t="shared" si="15"/>
        <v>640.85495849999995</v>
      </c>
      <c r="G491" s="45"/>
      <c r="H491" s="46"/>
      <c r="I491" s="156">
        <v>0.15750000000000003</v>
      </c>
    </row>
    <row r="492" spans="1:9" x14ac:dyDescent="0.3">
      <c r="A492" s="243"/>
      <c r="B492" s="36" t="s">
        <v>745</v>
      </c>
      <c r="C492" s="36" t="s">
        <v>744</v>
      </c>
      <c r="D492" s="37">
        <v>31.5459</v>
      </c>
      <c r="E492" s="31">
        <v>14.968499999999999</v>
      </c>
      <c r="F492" s="34">
        <f t="shared" si="15"/>
        <v>472.19480414999998</v>
      </c>
      <c r="G492" s="45"/>
      <c r="H492" s="46"/>
      <c r="I492" s="156">
        <v>0.15750000000000003</v>
      </c>
    </row>
    <row r="493" spans="1:9" ht="26.4" x14ac:dyDescent="0.3">
      <c r="A493" s="243"/>
      <c r="B493" s="36" t="s">
        <v>1206</v>
      </c>
      <c r="C493" s="36" t="s">
        <v>983</v>
      </c>
      <c r="D493" s="37">
        <v>6.6349999999999998</v>
      </c>
      <c r="E493" s="31">
        <v>1.343</v>
      </c>
      <c r="F493" s="34">
        <f t="shared" si="15"/>
        <v>8.9108049999999999</v>
      </c>
      <c r="G493" s="45"/>
      <c r="H493" s="46"/>
      <c r="I493" s="156">
        <v>0.15750000000000003</v>
      </c>
    </row>
    <row r="494" spans="1:9" ht="26.4" x14ac:dyDescent="0.3">
      <c r="A494" s="243"/>
      <c r="B494" s="36" t="s">
        <v>1207</v>
      </c>
      <c r="C494" s="36" t="s">
        <v>985</v>
      </c>
      <c r="D494" s="37">
        <v>18.246200000000002</v>
      </c>
      <c r="E494" s="31">
        <v>0.35699999999999998</v>
      </c>
      <c r="F494" s="34">
        <f t="shared" si="15"/>
        <v>6.5138934000000006</v>
      </c>
      <c r="G494" s="45"/>
      <c r="H494" s="46"/>
      <c r="I494" s="156">
        <v>0.15750000000000003</v>
      </c>
    </row>
    <row r="495" spans="1:9" ht="26.4" x14ac:dyDescent="0.3">
      <c r="A495" s="243"/>
      <c r="B495" s="36" t="s">
        <v>1208</v>
      </c>
      <c r="C495" s="36" t="s">
        <v>983</v>
      </c>
      <c r="D495" s="37">
        <v>0.48770000000000002</v>
      </c>
      <c r="E495" s="31">
        <v>17.807499999999997</v>
      </c>
      <c r="F495" s="34">
        <f t="shared" si="15"/>
        <v>8.684717749999999</v>
      </c>
      <c r="G495" s="45"/>
      <c r="H495" s="46"/>
      <c r="I495" s="156">
        <v>0.15750000000000003</v>
      </c>
    </row>
    <row r="496" spans="1:9" ht="26.4" x14ac:dyDescent="0.3">
      <c r="A496" s="243"/>
      <c r="B496" s="36" t="s">
        <v>1209</v>
      </c>
      <c r="C496" s="36" t="s">
        <v>985</v>
      </c>
      <c r="D496" s="37">
        <v>0.70430000000000004</v>
      </c>
      <c r="E496" s="31">
        <v>15.911999999999999</v>
      </c>
      <c r="F496" s="34">
        <f t="shared" si="15"/>
        <v>11.2068216</v>
      </c>
      <c r="G496" s="45"/>
      <c r="H496" s="46"/>
      <c r="I496" s="156">
        <v>0.15750000000000003</v>
      </c>
    </row>
    <row r="497" spans="1:9" ht="39.6" x14ac:dyDescent="0.3">
      <c r="A497" s="243"/>
      <c r="B497" s="36" t="s">
        <v>1210</v>
      </c>
      <c r="C497" s="36" t="s">
        <v>939</v>
      </c>
      <c r="D497" s="37">
        <v>27.898800000000001</v>
      </c>
      <c r="E497" s="31">
        <v>17.867107100000002</v>
      </c>
      <c r="F497" s="34">
        <f t="shared" si="15"/>
        <v>498.47084756148007</v>
      </c>
      <c r="G497" s="45"/>
      <c r="H497" s="46"/>
      <c r="I497" s="156">
        <v>0.15750000000000003</v>
      </c>
    </row>
    <row r="498" spans="1:9" ht="26.4" x14ac:dyDescent="0.3">
      <c r="A498" s="243"/>
      <c r="B498" s="36" t="s">
        <v>1677</v>
      </c>
      <c r="C498" s="47" t="s">
        <v>122</v>
      </c>
      <c r="D498" s="37">
        <v>1.2</v>
      </c>
      <c r="E498" s="31">
        <v>399.0975894945999</v>
      </c>
      <c r="F498" s="34">
        <f t="shared" si="15"/>
        <v>478.91710739351987</v>
      </c>
      <c r="G498" s="45"/>
      <c r="H498" s="46"/>
      <c r="I498" s="156">
        <v>0.15750000000000003</v>
      </c>
    </row>
    <row r="499" spans="1:9" x14ac:dyDescent="0.3">
      <c r="A499" s="243"/>
      <c r="B499" s="51"/>
      <c r="C499" s="131"/>
      <c r="D499" s="37"/>
      <c r="E499" s="31" t="s">
        <v>560</v>
      </c>
      <c r="F499" s="34" t="str">
        <f t="shared" ref="F499:F506" si="16">IF(ISNUMBER(E499),ROUND(E499*$D499,2),"")</f>
        <v/>
      </c>
      <c r="G499" s="45"/>
      <c r="H499" s="46"/>
      <c r="I499" s="156">
        <v>0.15750000000000003</v>
      </c>
    </row>
    <row r="500" spans="1:9" ht="24.9" customHeight="1" x14ac:dyDescent="0.3">
      <c r="A500" s="243"/>
      <c r="B500" s="48" t="s">
        <v>796</v>
      </c>
      <c r="C500" s="131"/>
      <c r="D500" s="37"/>
      <c r="E500" s="31" t="s">
        <v>560</v>
      </c>
      <c r="F500" s="34" t="str">
        <f t="shared" si="16"/>
        <v/>
      </c>
      <c r="G500" s="45"/>
      <c r="H500" s="46"/>
      <c r="I500" s="156">
        <v>0.15750000000000003</v>
      </c>
    </row>
    <row r="501" spans="1:9" ht="15" thickBot="1" x14ac:dyDescent="0.35">
      <c r="A501" s="245"/>
      <c r="B501" s="104"/>
      <c r="C501" s="80"/>
      <c r="D501" s="96"/>
      <c r="E501" s="67" t="s">
        <v>560</v>
      </c>
      <c r="F501" s="67" t="str">
        <f t="shared" si="16"/>
        <v/>
      </c>
      <c r="G501" s="69"/>
      <c r="H501" s="31"/>
      <c r="I501" s="156">
        <v>0.15750000000000003</v>
      </c>
    </row>
    <row r="502" spans="1:9" ht="26.25" customHeight="1" thickBot="1" x14ac:dyDescent="0.35">
      <c r="A502" s="244" t="s">
        <v>2021</v>
      </c>
      <c r="B502" s="41" t="s">
        <v>560</v>
      </c>
      <c r="C502" s="78" t="s">
        <v>122</v>
      </c>
      <c r="D502" s="94"/>
      <c r="E502" s="42" t="s">
        <v>560</v>
      </c>
      <c r="F502" s="42" t="str">
        <f t="shared" si="16"/>
        <v/>
      </c>
      <c r="G502" s="29"/>
      <c r="H502" s="30"/>
      <c r="I502" s="156">
        <v>0.32399999999999995</v>
      </c>
    </row>
    <row r="503" spans="1:9" x14ac:dyDescent="0.3">
      <c r="A503" s="243"/>
      <c r="B503" s="32" t="s">
        <v>560</v>
      </c>
      <c r="C503" s="79"/>
      <c r="D503" s="92"/>
      <c r="E503" s="98" t="s">
        <v>560</v>
      </c>
      <c r="F503" s="99" t="str">
        <f t="shared" si="16"/>
        <v/>
      </c>
      <c r="G503" s="35"/>
      <c r="H503" s="31"/>
      <c r="I503" s="156">
        <v>0.32399999999999995</v>
      </c>
    </row>
    <row r="504" spans="1:9" ht="26.4" x14ac:dyDescent="0.3">
      <c r="A504" s="243"/>
      <c r="B504" s="36" t="s">
        <v>798</v>
      </c>
      <c r="C504" s="50" t="s">
        <v>122</v>
      </c>
      <c r="D504" s="37">
        <v>1.1000000000000001</v>
      </c>
      <c r="E504" s="34">
        <v>129.10649999999998</v>
      </c>
      <c r="F504" s="34">
        <f t="shared" si="16"/>
        <v>142.02000000000001</v>
      </c>
      <c r="G504" s="45">
        <f>SUM(F504:F512)</f>
        <v>296.76254686499999</v>
      </c>
      <c r="H504" s="46"/>
      <c r="I504" s="156">
        <v>0.32399999999999995</v>
      </c>
    </row>
    <row r="505" spans="1:9" x14ac:dyDescent="0.3">
      <c r="A505" s="243"/>
      <c r="B505" s="36" t="s">
        <v>752</v>
      </c>
      <c r="C505" s="50" t="s">
        <v>744</v>
      </c>
      <c r="D505" s="37">
        <v>2.4937999999999998</v>
      </c>
      <c r="E505" s="31">
        <v>20.314999999999998</v>
      </c>
      <c r="F505" s="34">
        <f t="shared" si="16"/>
        <v>50.66</v>
      </c>
      <c r="G505" s="45"/>
      <c r="H505" s="46"/>
      <c r="I505" s="156">
        <v>0.32399999999999995</v>
      </c>
    </row>
    <row r="506" spans="1:9" x14ac:dyDescent="0.3">
      <c r="A506" s="243"/>
      <c r="B506" s="36" t="s">
        <v>745</v>
      </c>
      <c r="C506" s="50" t="s">
        <v>744</v>
      </c>
      <c r="D506" s="37">
        <v>3.7406999999999999</v>
      </c>
      <c r="E506" s="31">
        <v>14.968499999999999</v>
      </c>
      <c r="F506" s="34">
        <f t="shared" si="16"/>
        <v>55.99</v>
      </c>
      <c r="G506" s="45"/>
      <c r="H506" s="46"/>
      <c r="I506" s="156">
        <v>0.32399999999999995</v>
      </c>
    </row>
    <row r="507" spans="1:9" ht="26.4" x14ac:dyDescent="0.3">
      <c r="A507" s="243"/>
      <c r="B507" s="36" t="s">
        <v>982</v>
      </c>
      <c r="C507" s="36" t="s">
        <v>983</v>
      </c>
      <c r="D507" s="37">
        <v>7.1800000000000003E-2</v>
      </c>
      <c r="E507" s="31">
        <v>22.728999999999999</v>
      </c>
      <c r="F507" s="34">
        <f>IF(ISNUMBER(E507),E507*$D507,"")</f>
        <v>1.6319421999999999</v>
      </c>
      <c r="G507" s="45"/>
      <c r="H507" s="46"/>
      <c r="I507" s="156">
        <v>0.32399999999999995</v>
      </c>
    </row>
    <row r="508" spans="1:9" ht="26.4" x14ac:dyDescent="0.3">
      <c r="A508" s="243"/>
      <c r="B508" s="36" t="s">
        <v>984</v>
      </c>
      <c r="C508" s="47" t="s">
        <v>985</v>
      </c>
      <c r="D508" s="37">
        <v>6.6600000000000006E-2</v>
      </c>
      <c r="E508" s="31">
        <v>16.4985</v>
      </c>
      <c r="F508" s="34">
        <f>IF(ISNUMBER(E508),E508*$D508,"")</f>
        <v>1.0988001000000001</v>
      </c>
      <c r="G508" s="45"/>
      <c r="H508" s="46"/>
      <c r="I508" s="156">
        <v>0.32399999999999995</v>
      </c>
    </row>
    <row r="509" spans="1:9" ht="52.8" x14ac:dyDescent="0.3">
      <c r="A509" s="243"/>
      <c r="B509" s="36" t="s">
        <v>1931</v>
      </c>
      <c r="C509" s="36" t="s">
        <v>122</v>
      </c>
      <c r="D509" s="37">
        <f>ROUND(1*(D504),4)</f>
        <v>1.1000000000000001</v>
      </c>
      <c r="E509" s="31">
        <v>5.4507091499999989</v>
      </c>
      <c r="F509" s="34">
        <f>IF(ISNUMBER(E509),E509*$D509,"")</f>
        <v>5.995780064999999</v>
      </c>
      <c r="G509" s="45"/>
      <c r="H509" s="46"/>
      <c r="I509" s="156">
        <v>0.32399999999999995</v>
      </c>
    </row>
    <row r="510" spans="1:9" ht="26.4" x14ac:dyDescent="0.3">
      <c r="A510" s="243"/>
      <c r="B510" s="36" t="s">
        <v>1930</v>
      </c>
      <c r="C510" s="47" t="s">
        <v>124</v>
      </c>
      <c r="D510" s="37">
        <f>ROUND(D504*20,4)</f>
        <v>22</v>
      </c>
      <c r="E510" s="31">
        <v>1.7893647499999998</v>
      </c>
      <c r="F510" s="34">
        <f>IF(ISNUMBER(E510),E510*$D510,"")</f>
        <v>39.366024499999995</v>
      </c>
      <c r="G510" s="45"/>
      <c r="H510" s="46"/>
      <c r="I510" s="156">
        <v>0.32399999999999995</v>
      </c>
    </row>
    <row r="511" spans="1:9" x14ac:dyDescent="0.3">
      <c r="A511" s="243"/>
      <c r="B511" s="51"/>
      <c r="C511" s="131"/>
      <c r="D511" s="37"/>
      <c r="E511" s="31" t="s">
        <v>560</v>
      </c>
      <c r="F511" s="34" t="str">
        <f t="shared" ref="F511:F519" si="17">IF(ISNUMBER(E511),ROUND(E511*$D511,2),"")</f>
        <v/>
      </c>
      <c r="G511" s="45"/>
      <c r="H511" s="46"/>
      <c r="I511" s="156">
        <v>0.32399999999999995</v>
      </c>
    </row>
    <row r="512" spans="1:9" ht="24.9" customHeight="1" x14ac:dyDescent="0.3">
      <c r="A512" s="243"/>
      <c r="B512" s="48" t="s">
        <v>796</v>
      </c>
      <c r="C512" s="131"/>
      <c r="D512" s="37"/>
      <c r="E512" s="31" t="s">
        <v>560</v>
      </c>
      <c r="F512" s="34" t="str">
        <f t="shared" si="17"/>
        <v/>
      </c>
      <c r="G512" s="45"/>
      <c r="H512" s="46"/>
      <c r="I512" s="156">
        <v>0.32399999999999995</v>
      </c>
    </row>
    <row r="513" spans="1:9" ht="15" thickBot="1" x14ac:dyDescent="0.35">
      <c r="A513" s="245"/>
      <c r="B513" s="104"/>
      <c r="C513" s="80"/>
      <c r="D513" s="96"/>
      <c r="E513" s="67" t="s">
        <v>560</v>
      </c>
      <c r="F513" s="67" t="str">
        <f t="shared" si="17"/>
        <v/>
      </c>
      <c r="G513" s="69"/>
      <c r="H513" s="31"/>
      <c r="I513" s="156">
        <v>0.32399999999999995</v>
      </c>
    </row>
    <row r="514" spans="1:9" ht="26.25" customHeight="1" thickBot="1" x14ac:dyDescent="0.35">
      <c r="A514" s="244" t="s">
        <v>1679</v>
      </c>
      <c r="B514" s="41" t="s">
        <v>560</v>
      </c>
      <c r="C514" s="78" t="s">
        <v>122</v>
      </c>
      <c r="D514" s="94"/>
      <c r="E514" s="42" t="s">
        <v>560</v>
      </c>
      <c r="F514" s="42" t="str">
        <f t="shared" si="17"/>
        <v/>
      </c>
      <c r="G514" s="29"/>
      <c r="H514" s="30"/>
      <c r="I514" s="156">
        <v>8.2799999999999994</v>
      </c>
    </row>
    <row r="515" spans="1:9" x14ac:dyDescent="0.3">
      <c r="A515" s="243"/>
      <c r="B515" s="32" t="s">
        <v>560</v>
      </c>
      <c r="C515" s="79"/>
      <c r="D515" s="92"/>
      <c r="E515" s="98" t="s">
        <v>560</v>
      </c>
      <c r="F515" s="99" t="str">
        <f t="shared" si="17"/>
        <v/>
      </c>
      <c r="G515" s="35"/>
      <c r="H515" s="31"/>
      <c r="I515" s="156">
        <v>8.2799999999999994</v>
      </c>
    </row>
    <row r="516" spans="1:9" ht="26.4" x14ac:dyDescent="0.3">
      <c r="A516" s="243"/>
      <c r="B516" s="36" t="s">
        <v>793</v>
      </c>
      <c r="C516" s="50" t="s">
        <v>122</v>
      </c>
      <c r="D516" s="37">
        <v>0.85299999999999998</v>
      </c>
      <c r="E516" s="34">
        <v>76.5</v>
      </c>
      <c r="F516" s="34">
        <f t="shared" si="17"/>
        <v>65.25</v>
      </c>
      <c r="G516" s="45">
        <f>SUM(F516:F523)</f>
        <v>443.56386801334997</v>
      </c>
      <c r="H516" s="46"/>
      <c r="I516" s="156">
        <v>8.2799999999999994</v>
      </c>
    </row>
    <row r="517" spans="1:9" x14ac:dyDescent="0.3">
      <c r="A517" s="243"/>
      <c r="B517" s="36" t="s">
        <v>789</v>
      </c>
      <c r="C517" s="50" t="s">
        <v>939</v>
      </c>
      <c r="D517" s="37">
        <v>218.65</v>
      </c>
      <c r="E517" s="34">
        <v>0.46750000000000003</v>
      </c>
      <c r="F517" s="34">
        <f t="shared" si="17"/>
        <v>102.22</v>
      </c>
      <c r="G517" s="45"/>
      <c r="H517" s="46"/>
      <c r="I517" s="156">
        <v>8.2799999999999994</v>
      </c>
    </row>
    <row r="518" spans="1:9" ht="26.4" x14ac:dyDescent="0.3">
      <c r="A518" s="243"/>
      <c r="B518" s="36" t="s">
        <v>801</v>
      </c>
      <c r="C518" s="50" t="s">
        <v>122</v>
      </c>
      <c r="D518" s="37">
        <v>0.59599999999999997</v>
      </c>
      <c r="E518" s="31">
        <v>111.82599999999999</v>
      </c>
      <c r="F518" s="34">
        <f t="shared" si="17"/>
        <v>66.650000000000006</v>
      </c>
      <c r="G518" s="45"/>
      <c r="H518" s="46"/>
      <c r="I518" s="156">
        <v>8.2799999999999994</v>
      </c>
    </row>
    <row r="519" spans="1:9" x14ac:dyDescent="0.3">
      <c r="A519" s="243"/>
      <c r="B519" s="36" t="s">
        <v>745</v>
      </c>
      <c r="C519" s="50" t="s">
        <v>744</v>
      </c>
      <c r="D519" s="37">
        <v>10</v>
      </c>
      <c r="E519" s="31">
        <v>14.968499999999999</v>
      </c>
      <c r="F519" s="34">
        <f t="shared" si="17"/>
        <v>149.69</v>
      </c>
      <c r="G519" s="45"/>
      <c r="H519" s="46"/>
      <c r="I519" s="156">
        <v>8.2799999999999994</v>
      </c>
    </row>
    <row r="520" spans="1:9" ht="52.8" x14ac:dyDescent="0.3">
      <c r="A520" s="243"/>
      <c r="B520" s="36" t="s">
        <v>1931</v>
      </c>
      <c r="C520" s="36" t="s">
        <v>122</v>
      </c>
      <c r="D520" s="37">
        <f>ROUND(1*(D516+D518),4)</f>
        <v>1.4490000000000001</v>
      </c>
      <c r="E520" s="31">
        <v>5.4507091499999989</v>
      </c>
      <c r="F520" s="34">
        <f>IF(ISNUMBER(E520),E520*$D520,"")</f>
        <v>7.8980775583499989</v>
      </c>
      <c r="G520" s="45"/>
      <c r="H520" s="46"/>
      <c r="I520" s="156">
        <v>8.2799999999999994</v>
      </c>
    </row>
    <row r="521" spans="1:9" ht="26.4" x14ac:dyDescent="0.3">
      <c r="A521" s="243"/>
      <c r="B521" s="36" t="s">
        <v>1930</v>
      </c>
      <c r="C521" s="47" t="s">
        <v>124</v>
      </c>
      <c r="D521" s="37">
        <f>ROUND((D516+D518)*20,4)</f>
        <v>28.98</v>
      </c>
      <c r="E521" s="31">
        <v>1.7893647499999998</v>
      </c>
      <c r="F521" s="34">
        <f>IF(ISNUMBER(E521),E521*$D521,"")</f>
        <v>51.855790454999998</v>
      </c>
      <c r="G521" s="45"/>
      <c r="H521" s="46"/>
      <c r="I521" s="156">
        <v>8.2799999999999994</v>
      </c>
    </row>
    <row r="522" spans="1:9" x14ac:dyDescent="0.3">
      <c r="A522" s="243"/>
      <c r="B522" s="51"/>
      <c r="C522" s="131"/>
      <c r="D522" s="37"/>
      <c r="E522" s="31" t="s">
        <v>560</v>
      </c>
      <c r="F522" s="34" t="str">
        <f t="shared" ref="F522:F554" si="18">IF(ISNUMBER(E522),ROUND(E522*$D522,2),"")</f>
        <v/>
      </c>
      <c r="G522" s="45"/>
      <c r="H522" s="46"/>
      <c r="I522" s="156">
        <v>8.2799999999999994</v>
      </c>
    </row>
    <row r="523" spans="1:9" ht="24.9" customHeight="1" x14ac:dyDescent="0.3">
      <c r="A523" s="243"/>
      <c r="B523" s="48" t="s">
        <v>125</v>
      </c>
      <c r="C523" s="131"/>
      <c r="D523" s="37"/>
      <c r="E523" s="31" t="s">
        <v>560</v>
      </c>
      <c r="F523" s="34" t="str">
        <f t="shared" si="18"/>
        <v/>
      </c>
      <c r="G523" s="45"/>
      <c r="H523" s="46"/>
      <c r="I523" s="156">
        <v>8.2799999999999994</v>
      </c>
    </row>
    <row r="524" spans="1:9" ht="15" thickBot="1" x14ac:dyDescent="0.35">
      <c r="A524" s="245"/>
      <c r="B524" s="104"/>
      <c r="C524" s="80"/>
      <c r="D524" s="96"/>
      <c r="E524" s="67" t="s">
        <v>560</v>
      </c>
      <c r="F524" s="67" t="str">
        <f t="shared" si="18"/>
        <v/>
      </c>
      <c r="G524" s="69"/>
      <c r="H524" s="31"/>
      <c r="I524" s="156">
        <v>8.2799999999999994</v>
      </c>
    </row>
    <row r="525" spans="1:9" ht="26.25" customHeight="1" thickBot="1" x14ac:dyDescent="0.35">
      <c r="A525" s="244" t="s">
        <v>1692</v>
      </c>
      <c r="B525" s="41" t="s">
        <v>560</v>
      </c>
      <c r="C525" s="78" t="s">
        <v>292</v>
      </c>
      <c r="D525" s="94"/>
      <c r="E525" s="42" t="s">
        <v>560</v>
      </c>
      <c r="F525" s="42" t="str">
        <f t="shared" si="18"/>
        <v/>
      </c>
      <c r="G525" s="29"/>
      <c r="H525" s="30"/>
      <c r="I525" s="156">
        <v>2700</v>
      </c>
    </row>
    <row r="526" spans="1:9" x14ac:dyDescent="0.3">
      <c r="A526" s="243"/>
      <c r="B526" s="32" t="s">
        <v>560</v>
      </c>
      <c r="C526" s="79"/>
      <c r="D526" s="92"/>
      <c r="E526" s="98" t="s">
        <v>560</v>
      </c>
      <c r="F526" s="99" t="str">
        <f t="shared" si="18"/>
        <v/>
      </c>
      <c r="G526" s="35"/>
      <c r="H526" s="31"/>
      <c r="I526" s="156">
        <v>2700</v>
      </c>
    </row>
    <row r="527" spans="1:9" x14ac:dyDescent="0.3">
      <c r="A527" s="243"/>
      <c r="B527" s="36" t="s">
        <v>1434</v>
      </c>
      <c r="C527" s="50" t="s">
        <v>939</v>
      </c>
      <c r="D527" s="37">
        <v>3.3999999999999998E-3</v>
      </c>
      <c r="E527" s="34">
        <v>17.203999999999997</v>
      </c>
      <c r="F527" s="34">
        <f t="shared" si="18"/>
        <v>0.06</v>
      </c>
      <c r="G527" s="45">
        <f>SUM(F527:F529)</f>
        <v>1.9100000000000001</v>
      </c>
      <c r="H527" s="46"/>
      <c r="I527" s="156">
        <v>2700</v>
      </c>
    </row>
    <row r="528" spans="1:9" x14ac:dyDescent="0.3">
      <c r="A528" s="243"/>
      <c r="B528" s="36" t="s">
        <v>827</v>
      </c>
      <c r="C528" s="50" t="s">
        <v>744</v>
      </c>
      <c r="D528" s="37">
        <v>3.2300000000000002E-2</v>
      </c>
      <c r="E528" s="34">
        <v>16.966000000000001</v>
      </c>
      <c r="F528" s="34">
        <f t="shared" si="18"/>
        <v>0.55000000000000004</v>
      </c>
      <c r="G528" s="45"/>
      <c r="H528" s="46"/>
      <c r="I528" s="156">
        <v>2700</v>
      </c>
    </row>
    <row r="529" spans="1:9" x14ac:dyDescent="0.3">
      <c r="A529" s="243"/>
      <c r="B529" s="36" t="s">
        <v>1036</v>
      </c>
      <c r="C529" s="50" t="s">
        <v>744</v>
      </c>
      <c r="D529" s="37">
        <v>6.4500000000000002E-2</v>
      </c>
      <c r="E529" s="31">
        <v>20.128</v>
      </c>
      <c r="F529" s="34">
        <f t="shared" si="18"/>
        <v>1.3</v>
      </c>
      <c r="G529" s="45"/>
      <c r="H529" s="46"/>
      <c r="I529" s="156">
        <v>2700</v>
      </c>
    </row>
    <row r="530" spans="1:9" ht="15" thickBot="1" x14ac:dyDescent="0.35">
      <c r="A530" s="245"/>
      <c r="B530" s="104"/>
      <c r="C530" s="80"/>
      <c r="D530" s="96"/>
      <c r="E530" s="67" t="s">
        <v>560</v>
      </c>
      <c r="F530" s="67" t="str">
        <f t="shared" si="18"/>
        <v/>
      </c>
      <c r="G530" s="69"/>
      <c r="H530" s="31"/>
      <c r="I530" s="156">
        <v>2700</v>
      </c>
    </row>
    <row r="531" spans="1:9" ht="26.25" customHeight="1" thickBot="1" x14ac:dyDescent="0.35">
      <c r="A531" s="244" t="s">
        <v>1674</v>
      </c>
      <c r="B531" s="41" t="s">
        <v>560</v>
      </c>
      <c r="C531" s="78" t="s">
        <v>122</v>
      </c>
      <c r="D531" s="94"/>
      <c r="E531" s="42" t="s">
        <v>560</v>
      </c>
      <c r="F531" s="42" t="str">
        <f t="shared" si="18"/>
        <v/>
      </c>
      <c r="G531" s="29"/>
      <c r="H531" s="30"/>
      <c r="I531" s="156">
        <v>5.9799999999999999E-2</v>
      </c>
    </row>
    <row r="532" spans="1:9" x14ac:dyDescent="0.3">
      <c r="A532" s="243"/>
      <c r="B532" s="32" t="s">
        <v>560</v>
      </c>
      <c r="C532" s="79"/>
      <c r="D532" s="92"/>
      <c r="E532" s="98" t="s">
        <v>560</v>
      </c>
      <c r="F532" s="99" t="str">
        <f t="shared" si="18"/>
        <v/>
      </c>
      <c r="G532" s="35"/>
      <c r="H532" s="31"/>
      <c r="I532" s="156">
        <v>5.9799999999999999E-2</v>
      </c>
    </row>
    <row r="533" spans="1:9" x14ac:dyDescent="0.3">
      <c r="A533" s="243"/>
      <c r="B533" s="36" t="s">
        <v>752</v>
      </c>
      <c r="C533" s="50" t="s">
        <v>744</v>
      </c>
      <c r="D533" s="37">
        <v>8.0998000000000001</v>
      </c>
      <c r="E533" s="34">
        <v>20.314999999999998</v>
      </c>
      <c r="F533" s="34">
        <f t="shared" si="18"/>
        <v>164.55</v>
      </c>
      <c r="G533" s="45">
        <f>SUM(F533:F535)</f>
        <v>739.77</v>
      </c>
      <c r="H533" s="46"/>
      <c r="I533" s="156">
        <v>5.9799999999999999E-2</v>
      </c>
    </row>
    <row r="534" spans="1:9" x14ac:dyDescent="0.3">
      <c r="A534" s="243"/>
      <c r="B534" s="36" t="s">
        <v>745</v>
      </c>
      <c r="C534" s="50" t="s">
        <v>744</v>
      </c>
      <c r="D534" s="37">
        <v>5.7291999999999996</v>
      </c>
      <c r="E534" s="34">
        <v>14.968499999999999</v>
      </c>
      <c r="F534" s="34">
        <f t="shared" si="18"/>
        <v>85.76</v>
      </c>
      <c r="G534" s="45"/>
      <c r="H534" s="46"/>
      <c r="I534" s="156">
        <v>5.9799999999999999E-2</v>
      </c>
    </row>
    <row r="535" spans="1:9" ht="39.6" x14ac:dyDescent="0.3">
      <c r="A535" s="243"/>
      <c r="B535" s="36" t="s">
        <v>1676</v>
      </c>
      <c r="C535" s="50" t="s">
        <v>122</v>
      </c>
      <c r="D535" s="37">
        <v>1.2030000000000001</v>
      </c>
      <c r="E535" s="31">
        <v>406.86927464799999</v>
      </c>
      <c r="F535" s="34">
        <f t="shared" si="18"/>
        <v>489.46</v>
      </c>
      <c r="G535" s="45"/>
      <c r="H535" s="46"/>
      <c r="I535" s="156">
        <v>5.9799999999999999E-2</v>
      </c>
    </row>
    <row r="536" spans="1:9" ht="15" thickBot="1" x14ac:dyDescent="0.35">
      <c r="A536" s="245"/>
      <c r="B536" s="104"/>
      <c r="C536" s="80"/>
      <c r="D536" s="96"/>
      <c r="E536" s="67" t="s">
        <v>560</v>
      </c>
      <c r="F536" s="67" t="str">
        <f t="shared" si="18"/>
        <v/>
      </c>
      <c r="G536" s="69"/>
      <c r="H536" s="31"/>
      <c r="I536" s="156">
        <v>5.9799999999999999E-2</v>
      </c>
    </row>
    <row r="537" spans="1:9" ht="26.25" customHeight="1" thickBot="1" x14ac:dyDescent="0.35">
      <c r="A537" s="244" t="s">
        <v>1675</v>
      </c>
      <c r="B537" s="41" t="s">
        <v>560</v>
      </c>
      <c r="C537" s="78" t="s">
        <v>122</v>
      </c>
      <c r="D537" s="94"/>
      <c r="E537" s="42" t="s">
        <v>560</v>
      </c>
      <c r="F537" s="42" t="str">
        <f t="shared" si="18"/>
        <v/>
      </c>
      <c r="G537" s="29"/>
      <c r="H537" s="30"/>
      <c r="I537" s="156">
        <v>0.123</v>
      </c>
    </row>
    <row r="538" spans="1:9" x14ac:dyDescent="0.3">
      <c r="A538" s="243"/>
      <c r="B538" s="32" t="s">
        <v>560</v>
      </c>
      <c r="C538" s="79"/>
      <c r="D538" s="92"/>
      <c r="E538" s="98" t="s">
        <v>560</v>
      </c>
      <c r="F538" s="99" t="str">
        <f t="shared" si="18"/>
        <v/>
      </c>
      <c r="G538" s="35"/>
      <c r="H538" s="31"/>
      <c r="I538" s="156">
        <v>0.123</v>
      </c>
    </row>
    <row r="539" spans="1:9" x14ac:dyDescent="0.3">
      <c r="A539" s="243"/>
      <c r="B539" s="36" t="s">
        <v>752</v>
      </c>
      <c r="C539" s="50" t="s">
        <v>744</v>
      </c>
      <c r="D539" s="37">
        <v>7.2382999999999997</v>
      </c>
      <c r="E539" s="34">
        <v>20.314999999999998</v>
      </c>
      <c r="F539" s="34">
        <f t="shared" si="18"/>
        <v>147.05000000000001</v>
      </c>
      <c r="G539" s="45">
        <f>SUM(F539:F541)</f>
        <v>713.14</v>
      </c>
      <c r="H539" s="46"/>
      <c r="I539" s="156">
        <v>0.123</v>
      </c>
    </row>
    <row r="540" spans="1:9" x14ac:dyDescent="0.3">
      <c r="A540" s="243"/>
      <c r="B540" s="36" t="s">
        <v>745</v>
      </c>
      <c r="C540" s="50" t="s">
        <v>744</v>
      </c>
      <c r="D540" s="37">
        <v>5.1196999999999999</v>
      </c>
      <c r="E540" s="34">
        <v>14.968499999999999</v>
      </c>
      <c r="F540" s="34">
        <f t="shared" si="18"/>
        <v>76.63</v>
      </c>
      <c r="G540" s="45"/>
      <c r="H540" s="46"/>
      <c r="I540" s="156">
        <v>0.123</v>
      </c>
    </row>
    <row r="541" spans="1:9" ht="39.6" x14ac:dyDescent="0.3">
      <c r="A541" s="243"/>
      <c r="B541" s="36" t="s">
        <v>1676</v>
      </c>
      <c r="C541" s="50" t="s">
        <v>122</v>
      </c>
      <c r="D541" s="37">
        <v>1.2030000000000001</v>
      </c>
      <c r="E541" s="31">
        <v>406.86927464799999</v>
      </c>
      <c r="F541" s="34">
        <f t="shared" si="18"/>
        <v>489.46</v>
      </c>
      <c r="G541" s="45"/>
      <c r="H541" s="46"/>
      <c r="I541" s="156">
        <v>0.123</v>
      </c>
    </row>
    <row r="542" spans="1:9" ht="15" thickBot="1" x14ac:dyDescent="0.35">
      <c r="A542" s="245"/>
      <c r="B542" s="104"/>
      <c r="C542" s="80"/>
      <c r="D542" s="96"/>
      <c r="E542" s="67" t="s">
        <v>560</v>
      </c>
      <c r="F542" s="67" t="str">
        <f t="shared" si="18"/>
        <v/>
      </c>
      <c r="G542" s="69"/>
      <c r="H542" s="31"/>
      <c r="I542" s="156">
        <v>0.123</v>
      </c>
    </row>
    <row r="543" spans="1:9" ht="26.25" customHeight="1" thickBot="1" x14ac:dyDescent="0.35">
      <c r="A543" s="244" t="s">
        <v>1669</v>
      </c>
      <c r="B543" s="41" t="s">
        <v>560</v>
      </c>
      <c r="C543" s="78" t="s">
        <v>939</v>
      </c>
      <c r="D543" s="94"/>
      <c r="E543" s="42" t="s">
        <v>560</v>
      </c>
      <c r="F543" s="42" t="str">
        <f t="shared" si="18"/>
        <v/>
      </c>
      <c r="G543" s="29"/>
      <c r="H543" s="30"/>
      <c r="I543" s="156">
        <v>1.9743999999999999</v>
      </c>
    </row>
    <row r="544" spans="1:9" x14ac:dyDescent="0.3">
      <c r="A544" s="243"/>
      <c r="B544" s="32" t="s">
        <v>560</v>
      </c>
      <c r="C544" s="79"/>
      <c r="D544" s="92"/>
      <c r="E544" s="98" t="s">
        <v>560</v>
      </c>
      <c r="F544" s="99" t="str">
        <f t="shared" si="18"/>
        <v/>
      </c>
      <c r="G544" s="35"/>
      <c r="H544" s="31"/>
      <c r="I544" s="156">
        <v>1.9743999999999999</v>
      </c>
    </row>
    <row r="545" spans="1:9" x14ac:dyDescent="0.3">
      <c r="A545" s="243"/>
      <c r="B545" s="36" t="s">
        <v>812</v>
      </c>
      <c r="C545" s="50" t="s">
        <v>939</v>
      </c>
      <c r="D545" s="37">
        <v>1</v>
      </c>
      <c r="E545" s="34">
        <v>10.3445</v>
      </c>
      <c r="F545" s="34">
        <f t="shared" si="18"/>
        <v>10.34</v>
      </c>
      <c r="G545" s="45">
        <f>SUM(F545:F547)</f>
        <v>12.27</v>
      </c>
      <c r="H545" s="46"/>
      <c r="I545" s="156">
        <v>1.9743999999999999</v>
      </c>
    </row>
    <row r="546" spans="1:9" x14ac:dyDescent="0.3">
      <c r="A546" s="243"/>
      <c r="B546" s="36" t="s">
        <v>752</v>
      </c>
      <c r="C546" s="50" t="s">
        <v>744</v>
      </c>
      <c r="D546" s="37">
        <v>6.2700000000000006E-2</v>
      </c>
      <c r="E546" s="34">
        <v>20.314999999999998</v>
      </c>
      <c r="F546" s="34">
        <f t="shared" si="18"/>
        <v>1.27</v>
      </c>
      <c r="G546" s="45"/>
      <c r="H546" s="46"/>
      <c r="I546" s="156">
        <v>1.9743999999999999</v>
      </c>
    </row>
    <row r="547" spans="1:9" x14ac:dyDescent="0.3">
      <c r="A547" s="243"/>
      <c r="B547" s="36" t="s">
        <v>745</v>
      </c>
      <c r="C547" s="50" t="s">
        <v>744</v>
      </c>
      <c r="D547" s="37">
        <v>4.4299999999999999E-2</v>
      </c>
      <c r="E547" s="31">
        <v>14.968499999999999</v>
      </c>
      <c r="F547" s="34">
        <f t="shared" si="18"/>
        <v>0.66</v>
      </c>
      <c r="G547" s="45"/>
      <c r="H547" s="46"/>
      <c r="I547" s="156">
        <v>1.9743999999999999</v>
      </c>
    </row>
    <row r="548" spans="1:9" ht="15" thickBot="1" x14ac:dyDescent="0.35">
      <c r="A548" s="245"/>
      <c r="B548" s="104"/>
      <c r="C548" s="80"/>
      <c r="D548" s="96"/>
      <c r="E548" s="67" t="s">
        <v>560</v>
      </c>
      <c r="F548" s="67" t="str">
        <f t="shared" si="18"/>
        <v/>
      </c>
      <c r="G548" s="69"/>
      <c r="H548" s="31"/>
      <c r="I548" s="156">
        <v>1.9743999999999999</v>
      </c>
    </row>
    <row r="549" spans="1:9" ht="26.25" customHeight="1" thickBot="1" x14ac:dyDescent="0.35">
      <c r="A549" s="244" t="s">
        <v>1670</v>
      </c>
      <c r="B549" s="41" t="s">
        <v>560</v>
      </c>
      <c r="C549" s="78" t="s">
        <v>939</v>
      </c>
      <c r="D549" s="94"/>
      <c r="E549" s="42" t="s">
        <v>560</v>
      </c>
      <c r="F549" s="42" t="str">
        <f t="shared" si="18"/>
        <v/>
      </c>
      <c r="G549" s="29"/>
      <c r="H549" s="30"/>
      <c r="I549" s="156">
        <v>4.9359999999999999</v>
      </c>
    </row>
    <row r="550" spans="1:9" x14ac:dyDescent="0.3">
      <c r="A550" s="243"/>
      <c r="B550" s="32" t="s">
        <v>560</v>
      </c>
      <c r="C550" s="79"/>
      <c r="D550" s="92"/>
      <c r="E550" s="98" t="s">
        <v>560</v>
      </c>
      <c r="F550" s="99" t="str">
        <f t="shared" si="18"/>
        <v/>
      </c>
      <c r="G550" s="35"/>
      <c r="H550" s="31"/>
      <c r="I550" s="156">
        <v>4.9359999999999999</v>
      </c>
    </row>
    <row r="551" spans="1:9" x14ac:dyDescent="0.3">
      <c r="A551" s="243"/>
      <c r="B551" s="36" t="s">
        <v>812</v>
      </c>
      <c r="C551" s="50" t="s">
        <v>939</v>
      </c>
      <c r="D551" s="37">
        <v>1</v>
      </c>
      <c r="E551" s="34">
        <v>10.3445</v>
      </c>
      <c r="F551" s="34">
        <f t="shared" si="18"/>
        <v>10.34</v>
      </c>
      <c r="G551" s="45">
        <f>SUM(F551:F553)</f>
        <v>11.86</v>
      </c>
      <c r="H551" s="46"/>
      <c r="I551" s="156">
        <v>4.9359999999999999</v>
      </c>
    </row>
    <row r="552" spans="1:9" x14ac:dyDescent="0.3">
      <c r="A552" s="243"/>
      <c r="B552" s="36" t="s">
        <v>752</v>
      </c>
      <c r="C552" s="50" t="s">
        <v>744</v>
      </c>
      <c r="D552" s="37">
        <v>4.9200000000000001E-2</v>
      </c>
      <c r="E552" s="34">
        <v>20.314999999999998</v>
      </c>
      <c r="F552" s="34">
        <f t="shared" si="18"/>
        <v>1</v>
      </c>
      <c r="G552" s="45"/>
      <c r="H552" s="46"/>
      <c r="I552" s="156">
        <v>4.9359999999999999</v>
      </c>
    </row>
    <row r="553" spans="1:9" x14ac:dyDescent="0.3">
      <c r="A553" s="243"/>
      <c r="B553" s="36" t="s">
        <v>745</v>
      </c>
      <c r="C553" s="50" t="s">
        <v>744</v>
      </c>
      <c r="D553" s="37">
        <v>3.4799999999999998E-2</v>
      </c>
      <c r="E553" s="31">
        <v>14.968499999999999</v>
      </c>
      <c r="F553" s="34">
        <f t="shared" si="18"/>
        <v>0.52</v>
      </c>
      <c r="G553" s="45"/>
      <c r="H553" s="46"/>
      <c r="I553" s="156">
        <v>4.9359999999999999</v>
      </c>
    </row>
    <row r="554" spans="1:9" ht="15" thickBot="1" x14ac:dyDescent="0.35">
      <c r="A554" s="245"/>
      <c r="B554" s="104"/>
      <c r="C554" s="80"/>
      <c r="D554" s="96"/>
      <c r="E554" s="67" t="s">
        <v>560</v>
      </c>
      <c r="F554" s="67" t="str">
        <f t="shared" si="18"/>
        <v/>
      </c>
      <c r="G554" s="69"/>
      <c r="H554" s="31"/>
      <c r="I554" s="156">
        <v>4.9359999999999999</v>
      </c>
    </row>
    <row r="555" spans="1:9" ht="15" thickBot="1" x14ac:dyDescent="0.35">
      <c r="A555" s="244" t="s">
        <v>2020</v>
      </c>
      <c r="B555" s="41" t="s">
        <v>560</v>
      </c>
      <c r="C555" s="26" t="s">
        <v>1035</v>
      </c>
      <c r="D555" s="94"/>
      <c r="E555" s="28" t="s">
        <v>560</v>
      </c>
      <c r="F555" s="28" t="str">
        <f t="shared" ref="F555:F561" si="19">IF(ISNUMBER(E555),E555*$D555,"")</f>
        <v/>
      </c>
      <c r="G555" s="29"/>
      <c r="H555" s="30"/>
      <c r="I555" s="156">
        <v>2.34</v>
      </c>
    </row>
    <row r="556" spans="1:9" x14ac:dyDescent="0.3">
      <c r="A556" s="243"/>
      <c r="B556" s="32" t="s">
        <v>560</v>
      </c>
      <c r="C556" s="32"/>
      <c r="D556" s="92"/>
      <c r="E556" s="31" t="s">
        <v>560</v>
      </c>
      <c r="F556" s="31" t="str">
        <f t="shared" si="19"/>
        <v/>
      </c>
      <c r="G556" s="35"/>
      <c r="H556" s="31"/>
      <c r="I556" s="156">
        <v>2.34</v>
      </c>
    </row>
    <row r="557" spans="1:9" x14ac:dyDescent="0.3">
      <c r="A557" s="243"/>
      <c r="B557" s="36" t="s">
        <v>752</v>
      </c>
      <c r="C557" s="36" t="s">
        <v>744</v>
      </c>
      <c r="D557" s="37">
        <v>5.0700000000000002E-2</v>
      </c>
      <c r="E557" s="31">
        <v>20.314999999999998</v>
      </c>
      <c r="F557" s="34">
        <f t="shared" si="19"/>
        <v>1.0299704999999999</v>
      </c>
      <c r="G557" s="45">
        <f>SUM(F557:F560)</f>
        <v>2.2303405000000001</v>
      </c>
      <c r="H557" s="46"/>
      <c r="I557" s="156">
        <v>2.34</v>
      </c>
    </row>
    <row r="558" spans="1:9" x14ac:dyDescent="0.3">
      <c r="A558" s="243"/>
      <c r="B558" s="36" t="s">
        <v>745</v>
      </c>
      <c r="C558" s="36" t="s">
        <v>744</v>
      </c>
      <c r="D558" s="37">
        <v>7.5999999999999998E-2</v>
      </c>
      <c r="E558" s="34">
        <v>14.968499999999999</v>
      </c>
      <c r="F558" s="34">
        <f t="shared" si="19"/>
        <v>1.1376059999999999</v>
      </c>
      <c r="G558" s="45"/>
      <c r="H558" s="46"/>
      <c r="I558" s="156">
        <v>2.34</v>
      </c>
    </row>
    <row r="559" spans="1:9" ht="26.4" x14ac:dyDescent="0.3">
      <c r="A559" s="243"/>
      <c r="B559" s="36" t="s">
        <v>982</v>
      </c>
      <c r="C559" s="36" t="s">
        <v>983</v>
      </c>
      <c r="D559" s="37">
        <v>1.6000000000000001E-3</v>
      </c>
      <c r="E559" s="31">
        <v>22.728999999999999</v>
      </c>
      <c r="F559" s="34">
        <f t="shared" si="19"/>
        <v>3.63664E-2</v>
      </c>
      <c r="G559" s="45"/>
      <c r="H559" s="46"/>
      <c r="I559" s="156">
        <v>2.34</v>
      </c>
    </row>
    <row r="560" spans="1:9" ht="26.4" x14ac:dyDescent="0.3">
      <c r="A560" s="243"/>
      <c r="B560" s="36" t="s">
        <v>984</v>
      </c>
      <c r="C560" s="36" t="s">
        <v>985</v>
      </c>
      <c r="D560" s="37">
        <v>1.6000000000000001E-3</v>
      </c>
      <c r="E560" s="31">
        <v>16.4985</v>
      </c>
      <c r="F560" s="34">
        <f t="shared" si="19"/>
        <v>2.63976E-2</v>
      </c>
      <c r="G560" s="45"/>
      <c r="H560" s="46"/>
      <c r="I560" s="156">
        <v>2.34</v>
      </c>
    </row>
    <row r="561" spans="1:9" ht="15" thickBot="1" x14ac:dyDescent="0.35">
      <c r="A561" s="245"/>
      <c r="B561" s="55" t="s">
        <v>560</v>
      </c>
      <c r="C561" s="55"/>
      <c r="D561" s="96"/>
      <c r="E561" s="67" t="s">
        <v>560</v>
      </c>
      <c r="F561" s="68" t="str">
        <f t="shared" si="19"/>
        <v/>
      </c>
      <c r="G561" s="69"/>
      <c r="H561" s="31"/>
      <c r="I561" s="156">
        <v>2.34</v>
      </c>
    </row>
    <row r="562" spans="1:9" ht="26.25" hidden="1" customHeight="1" thickBot="1" x14ac:dyDescent="0.35">
      <c r="A562" s="244" t="s">
        <v>1686</v>
      </c>
      <c r="B562" s="41" t="s">
        <v>560</v>
      </c>
      <c r="C562" s="78" t="s">
        <v>122</v>
      </c>
      <c r="D562" s="94"/>
      <c r="E562" s="42" t="s">
        <v>560</v>
      </c>
      <c r="F562" s="42" t="str">
        <f>IF(ISNUMBER(E562),ROUND(E562*$D562,2),"")</f>
        <v/>
      </c>
      <c r="G562" s="29"/>
      <c r="H562" s="30"/>
      <c r="I562" s="156">
        <v>0</v>
      </c>
    </row>
    <row r="563" spans="1:9" ht="15" hidden="1" thickBot="1" x14ac:dyDescent="0.35">
      <c r="A563" s="243"/>
      <c r="B563" s="32" t="s">
        <v>560</v>
      </c>
      <c r="C563" s="79"/>
      <c r="D563" s="92"/>
      <c r="E563" s="98" t="s">
        <v>560</v>
      </c>
      <c r="F563" s="99" t="str">
        <f>IF(ISNUMBER(E563),ROUND(E563*$D563,2),"")</f>
        <v/>
      </c>
      <c r="G563" s="35"/>
      <c r="H563" s="31"/>
      <c r="I563" s="156">
        <v>0</v>
      </c>
    </row>
    <row r="564" spans="1:9" ht="27" hidden="1" thickBot="1" x14ac:dyDescent="0.35">
      <c r="A564" s="243"/>
      <c r="B564" s="36" t="s">
        <v>793</v>
      </c>
      <c r="C564" s="50" t="s">
        <v>122</v>
      </c>
      <c r="D564" s="37">
        <v>1.17</v>
      </c>
      <c r="E564" s="34">
        <v>76.5</v>
      </c>
      <c r="F564" s="34">
        <f>IF(ISNUMBER(E564),ROUND(E564*$D564,2),"")</f>
        <v>89.51</v>
      </c>
      <c r="G564" s="45">
        <f>SUM(F564:F573)</f>
        <v>435.43310485550001</v>
      </c>
      <c r="H564" s="46"/>
      <c r="I564" s="156">
        <v>0</v>
      </c>
    </row>
    <row r="565" spans="1:9" ht="15" hidden="1" thickBot="1" x14ac:dyDescent="0.35">
      <c r="A565" s="243"/>
      <c r="B565" s="36" t="s">
        <v>1515</v>
      </c>
      <c r="C565" s="50" t="s">
        <v>939</v>
      </c>
      <c r="D565" s="37">
        <v>117.22</v>
      </c>
      <c r="E565" s="31">
        <v>0.79899999999999993</v>
      </c>
      <c r="F565" s="34">
        <f>IF(ISNUMBER(E565),ROUND(E565*$D565,2),"")</f>
        <v>93.66</v>
      </c>
      <c r="G565" s="45"/>
      <c r="H565" s="46"/>
      <c r="I565" s="156">
        <v>0</v>
      </c>
    </row>
    <row r="566" spans="1:9" ht="15" hidden="1" thickBot="1" x14ac:dyDescent="0.35">
      <c r="A566" s="243"/>
      <c r="B566" s="36" t="s">
        <v>789</v>
      </c>
      <c r="C566" s="50" t="s">
        <v>939</v>
      </c>
      <c r="D566" s="37">
        <v>263.74</v>
      </c>
      <c r="E566" s="31">
        <v>0.46750000000000003</v>
      </c>
      <c r="F566" s="34">
        <f>IF(ISNUMBER(E566),ROUND(E566*$D566,2),"")</f>
        <v>123.3</v>
      </c>
      <c r="G566" s="45"/>
      <c r="H566" s="46"/>
      <c r="I566" s="156">
        <v>0</v>
      </c>
    </row>
    <row r="567" spans="1:9" ht="27" hidden="1" thickBot="1" x14ac:dyDescent="0.35">
      <c r="A567" s="243"/>
      <c r="B567" s="36" t="s">
        <v>1513</v>
      </c>
      <c r="C567" s="36" t="s">
        <v>744</v>
      </c>
      <c r="D567" s="37">
        <v>5.16</v>
      </c>
      <c r="E567" s="31">
        <v>15.147</v>
      </c>
      <c r="F567" s="34">
        <f>IF(ISNUMBER(E567),E567*$D567,"")</f>
        <v>78.15852000000001</v>
      </c>
      <c r="G567" s="45"/>
      <c r="H567" s="46"/>
      <c r="I567" s="156">
        <v>0</v>
      </c>
    </row>
    <row r="568" spans="1:9" ht="40.200000000000003" hidden="1" thickBot="1" x14ac:dyDescent="0.35">
      <c r="A568" s="243"/>
      <c r="B568" s="36" t="s">
        <v>119</v>
      </c>
      <c r="C568" s="47" t="s">
        <v>983</v>
      </c>
      <c r="D568" s="37">
        <v>1.2</v>
      </c>
      <c r="E568" s="31">
        <v>1.2324999999999999</v>
      </c>
      <c r="F568" s="34">
        <f>IF(ISNUMBER(E568),E568*$D568,"")</f>
        <v>1.4789999999999999</v>
      </c>
      <c r="G568" s="45"/>
      <c r="H568" s="46"/>
      <c r="I568" s="156">
        <v>0</v>
      </c>
    </row>
    <row r="569" spans="1:9" ht="40.200000000000003" hidden="1" thickBot="1" x14ac:dyDescent="0.35">
      <c r="A569" s="243"/>
      <c r="B569" s="36" t="s">
        <v>120</v>
      </c>
      <c r="C569" s="47" t="s">
        <v>985</v>
      </c>
      <c r="D569" s="37">
        <v>3.96</v>
      </c>
      <c r="E569" s="31">
        <v>0.27200000000000002</v>
      </c>
      <c r="F569" s="34">
        <f>IF(ISNUMBER(E569),E569*$D569,"")</f>
        <v>1.0771200000000001</v>
      </c>
      <c r="G569" s="45"/>
      <c r="H569" s="46"/>
      <c r="I569" s="156">
        <v>0</v>
      </c>
    </row>
    <row r="570" spans="1:9" ht="53.4" hidden="1" thickBot="1" x14ac:dyDescent="0.35">
      <c r="A570" s="243"/>
      <c r="B570" s="36" t="s">
        <v>1931</v>
      </c>
      <c r="C570" s="36" t="s">
        <v>122</v>
      </c>
      <c r="D570" s="37">
        <f>ROUND(1*(D564),4)</f>
        <v>1.17</v>
      </c>
      <c r="E570" s="31">
        <v>5.4507091499999989</v>
      </c>
      <c r="F570" s="34">
        <f>IF(ISNUMBER(E570),E570*$D570,"")</f>
        <v>6.3773297054999984</v>
      </c>
      <c r="G570" s="45"/>
      <c r="H570" s="46"/>
      <c r="I570" s="156">
        <v>0</v>
      </c>
    </row>
    <row r="571" spans="1:9" ht="27" hidden="1" thickBot="1" x14ac:dyDescent="0.35">
      <c r="A571" s="243"/>
      <c r="B571" s="36" t="s">
        <v>1930</v>
      </c>
      <c r="C571" s="47" t="s">
        <v>124</v>
      </c>
      <c r="D571" s="37">
        <f>ROUND(D564*20,4)</f>
        <v>23.4</v>
      </c>
      <c r="E571" s="31">
        <v>1.7893647499999998</v>
      </c>
      <c r="F571" s="34">
        <f>IF(ISNUMBER(E571),E571*$D571,"")</f>
        <v>41.871135149999994</v>
      </c>
      <c r="G571" s="45"/>
      <c r="H571" s="46"/>
      <c r="I571" s="156">
        <v>0</v>
      </c>
    </row>
    <row r="572" spans="1:9" ht="15" hidden="1" thickBot="1" x14ac:dyDescent="0.35">
      <c r="A572" s="243"/>
      <c r="B572" s="51"/>
      <c r="C572" s="131"/>
      <c r="D572" s="37"/>
      <c r="E572" s="31" t="s">
        <v>560</v>
      </c>
      <c r="F572" s="34" t="str">
        <f t="shared" ref="F572:F583" si="20">IF(ISNUMBER(E572),ROUND(E572*$D572,2),"")</f>
        <v/>
      </c>
      <c r="G572" s="45"/>
      <c r="H572" s="46"/>
      <c r="I572" s="156">
        <v>0</v>
      </c>
    </row>
    <row r="573" spans="1:9" ht="24.9" hidden="1" customHeight="1" x14ac:dyDescent="0.3">
      <c r="A573" s="243"/>
      <c r="B573" s="48" t="s">
        <v>796</v>
      </c>
      <c r="C573" s="131"/>
      <c r="D573" s="37"/>
      <c r="E573" s="31" t="s">
        <v>560</v>
      </c>
      <c r="F573" s="34" t="str">
        <f t="shared" si="20"/>
        <v/>
      </c>
      <c r="G573" s="45"/>
      <c r="H573" s="46"/>
      <c r="I573" s="156">
        <v>0</v>
      </c>
    </row>
    <row r="574" spans="1:9" ht="15" hidden="1" thickBot="1" x14ac:dyDescent="0.35">
      <c r="A574" s="245"/>
      <c r="B574" s="104"/>
      <c r="C574" s="80"/>
      <c r="D574" s="96"/>
      <c r="E574" s="67" t="s">
        <v>560</v>
      </c>
      <c r="F574" s="67" t="str">
        <f t="shared" si="20"/>
        <v/>
      </c>
      <c r="G574" s="69"/>
      <c r="H574" s="31"/>
      <c r="I574" s="156">
        <v>0</v>
      </c>
    </row>
    <row r="575" spans="1:9" ht="26.25" customHeight="1" thickBot="1" x14ac:dyDescent="0.35">
      <c r="A575" s="244" t="s">
        <v>1672</v>
      </c>
      <c r="B575" s="41" t="s">
        <v>560</v>
      </c>
      <c r="C575" s="78" t="s">
        <v>939</v>
      </c>
      <c r="D575" s="94"/>
      <c r="E575" s="42" t="s">
        <v>560</v>
      </c>
      <c r="F575" s="42" t="str">
        <f t="shared" si="20"/>
        <v/>
      </c>
      <c r="G575" s="29"/>
      <c r="H575" s="30"/>
      <c r="I575" s="156">
        <v>822.02</v>
      </c>
    </row>
    <row r="576" spans="1:9" x14ac:dyDescent="0.3">
      <c r="A576" s="243"/>
      <c r="B576" s="32" t="s">
        <v>560</v>
      </c>
      <c r="C576" s="79"/>
      <c r="D576" s="92"/>
      <c r="E576" s="98" t="s">
        <v>560</v>
      </c>
      <c r="F576" s="99" t="str">
        <f t="shared" si="20"/>
        <v/>
      </c>
      <c r="G576" s="35"/>
      <c r="H576" s="31"/>
      <c r="I576" s="156">
        <v>822.02</v>
      </c>
    </row>
    <row r="577" spans="1:9" x14ac:dyDescent="0.3">
      <c r="A577" s="243"/>
      <c r="B577" s="36" t="s">
        <v>808</v>
      </c>
      <c r="C577" s="50" t="s">
        <v>939</v>
      </c>
      <c r="D577" s="37">
        <v>1.07</v>
      </c>
      <c r="E577" s="34">
        <v>10.914</v>
      </c>
      <c r="F577" s="34">
        <f t="shared" si="20"/>
        <v>11.68</v>
      </c>
      <c r="G577" s="45">
        <f>SUM(F577:F579)</f>
        <v>12.38</v>
      </c>
      <c r="H577" s="46"/>
      <c r="I577" s="156">
        <v>822.02</v>
      </c>
    </row>
    <row r="578" spans="1:9" x14ac:dyDescent="0.3">
      <c r="A578" s="243"/>
      <c r="B578" s="36" t="s">
        <v>941</v>
      </c>
      <c r="C578" s="50" t="s">
        <v>744</v>
      </c>
      <c r="D578" s="37">
        <v>4.4000000000000003E-3</v>
      </c>
      <c r="E578" s="34">
        <v>15.674000000000001</v>
      </c>
      <c r="F578" s="34">
        <f t="shared" si="20"/>
        <v>7.0000000000000007E-2</v>
      </c>
      <c r="G578" s="45"/>
      <c r="H578" s="46"/>
      <c r="I578" s="156">
        <v>822.02</v>
      </c>
    </row>
    <row r="579" spans="1:9" x14ac:dyDescent="0.3">
      <c r="A579" s="243"/>
      <c r="B579" s="36" t="s">
        <v>942</v>
      </c>
      <c r="C579" s="50" t="s">
        <v>744</v>
      </c>
      <c r="D579" s="37">
        <v>3.1E-2</v>
      </c>
      <c r="E579" s="31">
        <v>20.213000000000001</v>
      </c>
      <c r="F579" s="34">
        <f t="shared" si="20"/>
        <v>0.63</v>
      </c>
      <c r="G579" s="45"/>
      <c r="H579" s="46"/>
      <c r="I579" s="156">
        <v>822.02</v>
      </c>
    </row>
    <row r="580" spans="1:9" ht="15" thickBot="1" x14ac:dyDescent="0.35">
      <c r="A580" s="245"/>
      <c r="B580" s="104"/>
      <c r="C580" s="80"/>
      <c r="D580" s="96"/>
      <c r="E580" s="67" t="s">
        <v>560</v>
      </c>
      <c r="F580" s="67" t="str">
        <f t="shared" si="20"/>
        <v/>
      </c>
      <c r="G580" s="69"/>
      <c r="H580" s="31"/>
      <c r="I580" s="156">
        <v>822.02</v>
      </c>
    </row>
    <row r="581" spans="1:9" ht="26.25" customHeight="1" thickBot="1" x14ac:dyDescent="0.35">
      <c r="A581" s="244" t="s">
        <v>1673</v>
      </c>
      <c r="B581" s="41" t="s">
        <v>560</v>
      </c>
      <c r="C581" s="78" t="s">
        <v>939</v>
      </c>
      <c r="D581" s="94"/>
      <c r="E581" s="42" t="s">
        <v>560</v>
      </c>
      <c r="F581" s="42" t="str">
        <f t="shared" si="20"/>
        <v/>
      </c>
      <c r="G581" s="29"/>
      <c r="H581" s="30"/>
      <c r="I581" s="156">
        <v>688.69349999999997</v>
      </c>
    </row>
    <row r="582" spans="1:9" x14ac:dyDescent="0.3">
      <c r="A582" s="243"/>
      <c r="B582" s="32" t="s">
        <v>560</v>
      </c>
      <c r="C582" s="79"/>
      <c r="D582" s="92"/>
      <c r="E582" s="98" t="s">
        <v>560</v>
      </c>
      <c r="F582" s="99" t="str">
        <f t="shared" si="20"/>
        <v/>
      </c>
      <c r="G582" s="35"/>
      <c r="H582" s="31"/>
      <c r="I582" s="156">
        <v>688.69349999999997</v>
      </c>
    </row>
    <row r="583" spans="1:9" ht="26.4" x14ac:dyDescent="0.3">
      <c r="A583" s="243"/>
      <c r="B583" s="36" t="s">
        <v>1912</v>
      </c>
      <c r="C583" s="50" t="s">
        <v>939</v>
      </c>
      <c r="D583" s="37">
        <v>0.02</v>
      </c>
      <c r="E583" s="34">
        <v>19.465</v>
      </c>
      <c r="F583" s="34">
        <f t="shared" si="20"/>
        <v>0.39</v>
      </c>
      <c r="G583" s="45">
        <f>SUM(F583:F586)</f>
        <v>11.379999999999999</v>
      </c>
      <c r="H583" s="46"/>
      <c r="I583" s="156">
        <v>688.69349999999997</v>
      </c>
    </row>
    <row r="584" spans="1:9" x14ac:dyDescent="0.3">
      <c r="A584" s="243"/>
      <c r="B584" s="36" t="s">
        <v>941</v>
      </c>
      <c r="C584" s="50" t="s">
        <v>744</v>
      </c>
      <c r="D584" s="37">
        <v>5.0000000000000001E-3</v>
      </c>
      <c r="E584" s="34">
        <v>15.674000000000001</v>
      </c>
      <c r="F584" s="34">
        <f t="shared" ref="F584" si="21">IF(ISNUMBER(E584),ROUND(E584*$D584,2),"")</f>
        <v>0.08</v>
      </c>
      <c r="G584" s="45"/>
      <c r="H584" s="46"/>
      <c r="I584" s="156">
        <v>688.69349999999997</v>
      </c>
    </row>
    <row r="585" spans="1:9" x14ac:dyDescent="0.3">
      <c r="A585" s="243"/>
      <c r="B585" s="36" t="s">
        <v>942</v>
      </c>
      <c r="C585" s="50" t="s">
        <v>744</v>
      </c>
      <c r="D585" s="37">
        <v>4.3999999999999997E-2</v>
      </c>
      <c r="E585" s="34">
        <v>20.213000000000001</v>
      </c>
      <c r="F585" s="34">
        <f>IF(ISNUMBER(E585),ROUND(E585*$D585,2),"")</f>
        <v>0.89</v>
      </c>
      <c r="G585" s="45"/>
      <c r="H585" s="46"/>
      <c r="I585" s="156">
        <v>688.69349999999997</v>
      </c>
    </row>
    <row r="586" spans="1:9" ht="26.4" x14ac:dyDescent="0.3">
      <c r="A586" s="243"/>
      <c r="B586" s="36" t="s">
        <v>1671</v>
      </c>
      <c r="C586" s="50" t="s">
        <v>939</v>
      </c>
      <c r="D586" s="37">
        <v>1</v>
      </c>
      <c r="E586" s="31">
        <v>10.019278100000001</v>
      </c>
      <c r="F586" s="34">
        <f>IF(ISNUMBER(E586),ROUND(E586*$D586,2),"")</f>
        <v>10.02</v>
      </c>
      <c r="G586" s="45"/>
      <c r="H586" s="46"/>
      <c r="I586" s="156">
        <v>688.69349999999997</v>
      </c>
    </row>
    <row r="587" spans="1:9" ht="15" thickBot="1" x14ac:dyDescent="0.35">
      <c r="A587" s="245"/>
      <c r="B587" s="104"/>
      <c r="C587" s="80"/>
      <c r="D587" s="96"/>
      <c r="E587" s="67" t="s">
        <v>560</v>
      </c>
      <c r="F587" s="67" t="str">
        <f>IF(ISNUMBER(E587),ROUND(E587*$D587,2),"")</f>
        <v/>
      </c>
      <c r="G587" s="69"/>
      <c r="H587" s="31"/>
      <c r="I587" s="156">
        <v>688.69349999999997</v>
      </c>
    </row>
    <row r="588" spans="1:9" ht="26.25" customHeight="1" thickBot="1" x14ac:dyDescent="0.35">
      <c r="A588" s="244" t="s">
        <v>1929</v>
      </c>
      <c r="B588" s="41" t="s">
        <v>560</v>
      </c>
      <c r="C588" s="78" t="s">
        <v>1512</v>
      </c>
      <c r="D588" s="94"/>
      <c r="E588" s="42" t="s">
        <v>560</v>
      </c>
      <c r="F588" s="42" t="str">
        <f t="shared" ref="F588:F597" si="22">IF(ISNUMBER(E588),ROUND(E588*$D588,2),"")</f>
        <v/>
      </c>
      <c r="G588" s="29"/>
      <c r="H588" s="30"/>
      <c r="I588" s="156">
        <v>25.938000000000002</v>
      </c>
    </row>
    <row r="589" spans="1:9" x14ac:dyDescent="0.3">
      <c r="A589" s="243"/>
      <c r="B589" s="32" t="s">
        <v>560</v>
      </c>
      <c r="C589" s="79"/>
      <c r="D589" s="92"/>
      <c r="E589" s="98" t="s">
        <v>560</v>
      </c>
      <c r="F589" s="99" t="str">
        <f t="shared" si="22"/>
        <v/>
      </c>
      <c r="G589" s="35"/>
      <c r="H589" s="31"/>
      <c r="I589" s="156">
        <v>25.938000000000002</v>
      </c>
    </row>
    <row r="590" spans="1:9" ht="52.8" x14ac:dyDescent="0.3">
      <c r="A590" s="243"/>
      <c r="B590" s="36" t="s">
        <v>1120</v>
      </c>
      <c r="C590" s="50" t="s">
        <v>983</v>
      </c>
      <c r="D590" s="37">
        <v>1.52E-2</v>
      </c>
      <c r="E590" s="34">
        <v>114.28249999999998</v>
      </c>
      <c r="F590" s="34">
        <f t="shared" si="22"/>
        <v>1.74</v>
      </c>
      <c r="G590" s="45">
        <f>SUM(F590:F591)</f>
        <v>1.96</v>
      </c>
      <c r="H590" s="46"/>
      <c r="I590" s="156">
        <v>25.938000000000002</v>
      </c>
    </row>
    <row r="591" spans="1:9" ht="52.8" x14ac:dyDescent="0.3">
      <c r="A591" s="243"/>
      <c r="B591" s="36" t="s">
        <v>1121</v>
      </c>
      <c r="C591" s="50" t="s">
        <v>985</v>
      </c>
      <c r="D591" s="37">
        <v>6.4999999999999997E-3</v>
      </c>
      <c r="E591" s="34">
        <v>33.472999999999999</v>
      </c>
      <c r="F591" s="34">
        <f t="shared" si="22"/>
        <v>0.22</v>
      </c>
      <c r="G591" s="45"/>
      <c r="H591" s="46"/>
      <c r="I591" s="156">
        <v>25.938000000000002</v>
      </c>
    </row>
    <row r="592" spans="1:9" ht="15" thickBot="1" x14ac:dyDescent="0.35">
      <c r="A592" s="245"/>
      <c r="B592" s="104"/>
      <c r="C592" s="80"/>
      <c r="D592" s="96"/>
      <c r="E592" s="67" t="s">
        <v>560</v>
      </c>
      <c r="F592" s="67" t="str">
        <f t="shared" si="22"/>
        <v/>
      </c>
      <c r="G592" s="69"/>
      <c r="H592" s="31"/>
      <c r="I592" s="156">
        <v>25.938000000000002</v>
      </c>
    </row>
    <row r="593" spans="1:9" ht="26.25" customHeight="1" thickBot="1" x14ac:dyDescent="0.35">
      <c r="A593" s="244" t="s">
        <v>1691</v>
      </c>
      <c r="B593" s="41" t="s">
        <v>560</v>
      </c>
      <c r="C593" s="78" t="s">
        <v>122</v>
      </c>
      <c r="D593" s="94"/>
      <c r="E593" s="42" t="s">
        <v>560</v>
      </c>
      <c r="F593" s="42" t="str">
        <f t="shared" si="22"/>
        <v/>
      </c>
      <c r="G593" s="29"/>
      <c r="H593" s="30"/>
      <c r="I593" s="156">
        <v>0.35359999999999997</v>
      </c>
    </row>
    <row r="594" spans="1:9" x14ac:dyDescent="0.3">
      <c r="A594" s="243"/>
      <c r="B594" s="32" t="s">
        <v>560</v>
      </c>
      <c r="C594" s="79"/>
      <c r="D594" s="92"/>
      <c r="E594" s="98" t="s">
        <v>560</v>
      </c>
      <c r="F594" s="99" t="str">
        <f t="shared" si="22"/>
        <v/>
      </c>
      <c r="G594" s="35"/>
      <c r="H594" s="31"/>
      <c r="I594" s="156">
        <v>0.35359999999999997</v>
      </c>
    </row>
    <row r="595" spans="1:9" ht="26.4" x14ac:dyDescent="0.3">
      <c r="A595" s="243"/>
      <c r="B595" s="36" t="s">
        <v>793</v>
      </c>
      <c r="C595" s="50" t="s">
        <v>122</v>
      </c>
      <c r="D595" s="37">
        <v>1.19</v>
      </c>
      <c r="E595" s="34">
        <v>76.5</v>
      </c>
      <c r="F595" s="34">
        <f t="shared" si="22"/>
        <v>91.04</v>
      </c>
      <c r="G595" s="45">
        <f>SUM(F595:F604)</f>
        <v>417.34905993849992</v>
      </c>
      <c r="H595" s="46"/>
      <c r="I595" s="156">
        <v>0.35359999999999997</v>
      </c>
    </row>
    <row r="596" spans="1:9" x14ac:dyDescent="0.3">
      <c r="A596" s="243"/>
      <c r="B596" s="36" t="s">
        <v>1515</v>
      </c>
      <c r="C596" s="50" t="s">
        <v>939</v>
      </c>
      <c r="D596" s="37">
        <v>158.94999999999999</v>
      </c>
      <c r="E596" s="31">
        <v>0.79899999999999993</v>
      </c>
      <c r="F596" s="34">
        <f t="shared" si="22"/>
        <v>127</v>
      </c>
      <c r="G596" s="45"/>
      <c r="H596" s="46"/>
      <c r="I596" s="156">
        <v>0.35359999999999997</v>
      </c>
    </row>
    <row r="597" spans="1:9" x14ac:dyDescent="0.3">
      <c r="A597" s="243"/>
      <c r="B597" s="36" t="s">
        <v>789</v>
      </c>
      <c r="C597" s="50" t="s">
        <v>939</v>
      </c>
      <c r="D597" s="37">
        <v>178.82</v>
      </c>
      <c r="E597" s="31">
        <v>0.46750000000000003</v>
      </c>
      <c r="F597" s="34">
        <f t="shared" si="22"/>
        <v>83.6</v>
      </c>
      <c r="G597" s="45"/>
      <c r="H597" s="46"/>
      <c r="I597" s="156">
        <v>0.35359999999999997</v>
      </c>
    </row>
    <row r="598" spans="1:9" ht="26.4" x14ac:dyDescent="0.3">
      <c r="A598" s="243"/>
      <c r="B598" s="36" t="s">
        <v>1513</v>
      </c>
      <c r="C598" s="36" t="s">
        <v>744</v>
      </c>
      <c r="D598" s="37">
        <v>4.26</v>
      </c>
      <c r="E598" s="31">
        <v>15.147</v>
      </c>
      <c r="F598" s="34">
        <f t="shared" ref="F598:F602" si="23">IF(ISNUMBER(E598),E598*$D598,"")</f>
        <v>64.526219999999995</v>
      </c>
      <c r="G598" s="45"/>
      <c r="H598" s="46"/>
      <c r="I598" s="156">
        <v>0.35359999999999997</v>
      </c>
    </row>
    <row r="599" spans="1:9" ht="39.6" x14ac:dyDescent="0.3">
      <c r="A599" s="243"/>
      <c r="B599" s="36" t="s">
        <v>119</v>
      </c>
      <c r="C599" s="47" t="s">
        <v>983</v>
      </c>
      <c r="D599" s="37">
        <v>0.99</v>
      </c>
      <c r="E599" s="31">
        <v>1.2324999999999999</v>
      </c>
      <c r="F599" s="34">
        <f t="shared" si="23"/>
        <v>1.220175</v>
      </c>
      <c r="G599" s="45"/>
      <c r="H599" s="46"/>
      <c r="I599" s="156">
        <v>0.35359999999999997</v>
      </c>
    </row>
    <row r="600" spans="1:9" ht="39.6" x14ac:dyDescent="0.3">
      <c r="A600" s="243"/>
      <c r="B600" s="36" t="s">
        <v>120</v>
      </c>
      <c r="C600" s="47" t="s">
        <v>985</v>
      </c>
      <c r="D600" s="37">
        <v>3.27</v>
      </c>
      <c r="E600" s="31">
        <v>0.27200000000000002</v>
      </c>
      <c r="F600" s="34">
        <f t="shared" si="23"/>
        <v>0.88944000000000012</v>
      </c>
      <c r="G600" s="45"/>
      <c r="H600" s="46"/>
      <c r="I600" s="156">
        <v>0.35359999999999997</v>
      </c>
    </row>
    <row r="601" spans="1:9" ht="52.8" x14ac:dyDescent="0.3">
      <c r="A601" s="243"/>
      <c r="B601" s="36" t="s">
        <v>1931</v>
      </c>
      <c r="C601" s="36" t="s">
        <v>122</v>
      </c>
      <c r="D601" s="37">
        <f>ROUND(1*(D595),4)</f>
        <v>1.19</v>
      </c>
      <c r="E601" s="31">
        <v>5.4507091499999989</v>
      </c>
      <c r="F601" s="34">
        <f t="shared" si="23"/>
        <v>6.4863438884999987</v>
      </c>
      <c r="G601" s="45"/>
      <c r="H601" s="46"/>
      <c r="I601" s="156">
        <v>0.35359999999999997</v>
      </c>
    </row>
    <row r="602" spans="1:9" ht="26.4" x14ac:dyDescent="0.3">
      <c r="A602" s="243"/>
      <c r="B602" s="36" t="s">
        <v>1930</v>
      </c>
      <c r="C602" s="47" t="s">
        <v>124</v>
      </c>
      <c r="D602" s="37">
        <f>ROUND(D595*20,4)</f>
        <v>23.8</v>
      </c>
      <c r="E602" s="31">
        <v>1.7893647499999998</v>
      </c>
      <c r="F602" s="34">
        <f t="shared" si="23"/>
        <v>42.586881049999995</v>
      </c>
      <c r="G602" s="45"/>
      <c r="H602" s="46"/>
      <c r="I602" s="156">
        <v>0.35359999999999997</v>
      </c>
    </row>
    <row r="603" spans="1:9" x14ac:dyDescent="0.3">
      <c r="A603" s="243"/>
      <c r="B603" s="51"/>
      <c r="C603" s="131"/>
      <c r="D603" s="37"/>
      <c r="E603" s="31" t="s">
        <v>560</v>
      </c>
      <c r="F603" s="34" t="str">
        <f t="shared" ref="F603:F605" si="24">IF(ISNUMBER(E603),ROUND(E603*$D603,2),"")</f>
        <v/>
      </c>
      <c r="G603" s="45"/>
      <c r="H603" s="46"/>
      <c r="I603" s="156">
        <v>0.35359999999999997</v>
      </c>
    </row>
    <row r="604" spans="1:9" ht="24.9" customHeight="1" x14ac:dyDescent="0.3">
      <c r="A604" s="243"/>
      <c r="B604" s="48" t="s">
        <v>796</v>
      </c>
      <c r="C604" s="131"/>
      <c r="D604" s="37"/>
      <c r="E604" s="31" t="s">
        <v>560</v>
      </c>
      <c r="F604" s="34" t="str">
        <f t="shared" si="24"/>
        <v/>
      </c>
      <c r="G604" s="45"/>
      <c r="H604" s="46"/>
      <c r="I604" s="156">
        <v>0.35359999999999997</v>
      </c>
    </row>
    <row r="605" spans="1:9" ht="15" thickBot="1" x14ac:dyDescent="0.35">
      <c r="A605" s="245"/>
      <c r="B605" s="104"/>
      <c r="C605" s="80"/>
      <c r="D605" s="96"/>
      <c r="E605" s="67" t="s">
        <v>560</v>
      </c>
      <c r="F605" s="67" t="str">
        <f t="shared" si="24"/>
        <v/>
      </c>
      <c r="G605" s="69"/>
      <c r="H605" s="31"/>
      <c r="I605" s="156">
        <v>0.35359999999999997</v>
      </c>
    </row>
  </sheetData>
  <autoFilter ref="A5:I605" xr:uid="{00000000-0009-0000-0000-000001000000}">
    <filterColumn colId="8">
      <customFilters>
        <customFilter operator="notEqual" val="0"/>
      </customFilters>
    </filterColumn>
  </autoFilter>
  <mergeCells count="67">
    <mergeCell ref="A575:A580"/>
    <mergeCell ref="A581:A587"/>
    <mergeCell ref="A588:A592"/>
    <mergeCell ref="A593:A605"/>
    <mergeCell ref="A537:A542"/>
    <mergeCell ref="A543:A548"/>
    <mergeCell ref="A549:A554"/>
    <mergeCell ref="A555:A561"/>
    <mergeCell ref="A562:A574"/>
    <mergeCell ref="A483:A501"/>
    <mergeCell ref="A502:A513"/>
    <mergeCell ref="A514:A524"/>
    <mergeCell ref="A525:A530"/>
    <mergeCell ref="A531:A536"/>
    <mergeCell ref="A438:A449"/>
    <mergeCell ref="A450:A468"/>
    <mergeCell ref="A469:A482"/>
    <mergeCell ref="A427:A437"/>
    <mergeCell ref="A415:A426"/>
    <mergeCell ref="A403:A414"/>
    <mergeCell ref="A364:A371"/>
    <mergeCell ref="A372:A377"/>
    <mergeCell ref="A378:A383"/>
    <mergeCell ref="A384:A392"/>
    <mergeCell ref="A393:A402"/>
    <mergeCell ref="A48:A60"/>
    <mergeCell ref="A6:A15"/>
    <mergeCell ref="A16:A20"/>
    <mergeCell ref="A21:A26"/>
    <mergeCell ref="A27:A37"/>
    <mergeCell ref="A38:A47"/>
    <mergeCell ref="A285:A295"/>
    <mergeCell ref="A296:A303"/>
    <mergeCell ref="A304:A309"/>
    <mergeCell ref="A225:A238"/>
    <mergeCell ref="A277:A284"/>
    <mergeCell ref="A61:A68"/>
    <mergeCell ref="A69:A78"/>
    <mergeCell ref="A79:A85"/>
    <mergeCell ref="A86:A95"/>
    <mergeCell ref="A96:A105"/>
    <mergeCell ref="A106:A111"/>
    <mergeCell ref="A112:A117"/>
    <mergeCell ref="A118:A123"/>
    <mergeCell ref="A124:A129"/>
    <mergeCell ref="A192:A197"/>
    <mergeCell ref="A180:A185"/>
    <mergeCell ref="A186:A191"/>
    <mergeCell ref="A130:A135"/>
    <mergeCell ref="A136:A141"/>
    <mergeCell ref="A142:A147"/>
    <mergeCell ref="A148:A153"/>
    <mergeCell ref="A198:A202"/>
    <mergeCell ref="A203:A206"/>
    <mergeCell ref="A207:A214"/>
    <mergeCell ref="A154:A167"/>
    <mergeCell ref="A168:A179"/>
    <mergeCell ref="A215:A219"/>
    <mergeCell ref="A220:A224"/>
    <mergeCell ref="A239:A252"/>
    <mergeCell ref="A253:A266"/>
    <mergeCell ref="A267:A276"/>
    <mergeCell ref="A310:A323"/>
    <mergeCell ref="A324:A337"/>
    <mergeCell ref="A338:A349"/>
    <mergeCell ref="A350:A356"/>
    <mergeCell ref="A357:A363"/>
  </mergeCells>
  <conditionalFormatting sqref="F4">
    <cfRule type="containsText" dxfId="15" priority="323" operator="containsText" text="Pesquisa">
      <formula>NOT(ISERROR(SEARCH("Pesquisa",F4)))</formula>
    </cfRule>
  </conditionalFormatting>
  <conditionalFormatting sqref="C15:D15">
    <cfRule type="containsText" dxfId="14" priority="357" operator="containsText" text="Pesquisa de Preços">
      <formula>NOT(ISERROR(SEARCH("Pesquisa de Preços",C15)))</formula>
    </cfRule>
  </conditionalFormatting>
  <conditionalFormatting sqref="C7:D7">
    <cfRule type="containsText" dxfId="13" priority="356" operator="containsText" text="Pesquisa de Preços">
      <formula>NOT(ISERROR(SEARCH("Pesquisa de Preços",C7)))</formula>
    </cfRule>
  </conditionalFormatting>
  <conditionalFormatting sqref="C6:D6">
    <cfRule type="containsText" dxfId="12" priority="355" operator="containsText" text="Pesquisa de Preços">
      <formula>NOT(ISERROR(SEARCH("Pesquisa de Preços",C6)))</formula>
    </cfRule>
  </conditionalFormatting>
  <conditionalFormatting sqref="C8:D10">
    <cfRule type="containsText" dxfId="11" priority="354" operator="containsText" text="Pesquisa de Preços">
      <formula>NOT(ISERROR(SEARCH("Pesquisa de Preços",C8)))</formula>
    </cfRule>
  </conditionalFormatting>
  <conditionalFormatting sqref="C29:D36">
    <cfRule type="containsText" dxfId="10" priority="353" operator="containsText" text="Pesquisa de Preços">
      <formula>NOT(ISERROR(SEARCH("Pesquisa de Preços",C29)))</formula>
    </cfRule>
  </conditionalFormatting>
  <conditionalFormatting sqref="D27">
    <cfRule type="containsText" dxfId="9" priority="350" operator="containsText" text="Pesquisa de Preços">
      <formula>NOT(ISERROR(SEARCH("Pesquisa de Preços",D27)))</formula>
    </cfRule>
  </conditionalFormatting>
  <conditionalFormatting sqref="C37:D37">
    <cfRule type="containsText" dxfId="8" priority="352" operator="containsText" text="Pesquisa de Preços">
      <formula>NOT(ISERROR(SEARCH("Pesquisa de Preços",C37)))</formula>
    </cfRule>
  </conditionalFormatting>
  <conditionalFormatting sqref="C28:D28">
    <cfRule type="containsText" dxfId="7" priority="351" operator="containsText" text="Pesquisa de Preços">
      <formula>NOT(ISERROR(SEARCH("Pesquisa de Preços",C28)))</formula>
    </cfRule>
  </conditionalFormatting>
  <conditionalFormatting sqref="C27">
    <cfRule type="containsText" dxfId="6" priority="349" operator="containsText" text="Pesquisa de Preços">
      <formula>NOT(ISERROR(SEARCH("Pesquisa de Preços",C27)))</formula>
    </cfRule>
  </conditionalFormatting>
  <printOptions horizontalCentered="1"/>
  <pageMargins left="0.19685039370078741" right="0.19685039370078741" top="0.98425196850393704" bottom="0.59055118110236227" header="0.19685039370078741" footer="0.19685039370078741"/>
  <pageSetup paperSize="9" scale="71" fitToHeight="0"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rowBreaks count="8" manualBreakCount="8">
    <brk id="47" max="11" man="1"/>
    <brk id="185" max="11" man="1"/>
    <brk id="224" max="11" man="1"/>
    <brk id="349" max="11" man="1"/>
    <brk id="449" max="11" man="1"/>
    <brk id="482" max="11" man="1"/>
    <brk id="513" max="11" man="1"/>
    <brk id="554" max="11"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6" filterMode="1">
    <pageSetUpPr fitToPage="1"/>
  </sheetPr>
  <dimension ref="A1:I126"/>
  <sheetViews>
    <sheetView zoomScale="80" zoomScaleNormal="80" zoomScaleSheetLayoutView="40" workbookViewId="0">
      <pane ySplit="5" topLeftCell="A6" activePane="bottomLeft" state="frozen"/>
      <selection pane="bottomLeft" activeCell="A6" sqref="A6:A10"/>
    </sheetView>
  </sheetViews>
  <sheetFormatPr defaultRowHeight="14.4" x14ac:dyDescent="0.3"/>
  <cols>
    <col min="1" max="1" width="46.88671875" customWidth="1"/>
    <col min="2" max="2" width="65.6640625" style="5" customWidth="1"/>
    <col min="3" max="3" width="15.6640625" style="4" customWidth="1"/>
    <col min="4" max="4" width="20.6640625" customWidth="1"/>
    <col min="5" max="5" width="15.6640625" customWidth="1"/>
    <col min="6" max="7" width="17.6640625" customWidth="1"/>
    <col min="8" max="8" width="5.6640625" customWidth="1"/>
    <col min="9" max="9" width="14.44140625" customWidth="1"/>
  </cols>
  <sheetData>
    <row r="1" spans="1:9" ht="24.9" customHeight="1" x14ac:dyDescent="0.3">
      <c r="A1" s="81" t="str">
        <f>Composições!A1</f>
        <v>Nova central de geração de energia elétrica de emergência</v>
      </c>
      <c r="B1" s="105"/>
      <c r="C1" s="81"/>
      <c r="D1" s="81"/>
      <c r="E1" s="81"/>
      <c r="F1" s="81"/>
      <c r="G1" s="81"/>
      <c r="H1" s="82"/>
      <c r="I1" s="84"/>
    </row>
    <row r="2" spans="1:9" ht="24.9" customHeight="1" x14ac:dyDescent="0.3">
      <c r="A2" s="10" t="s">
        <v>1526</v>
      </c>
      <c r="B2" s="11"/>
      <c r="C2" s="132"/>
      <c r="D2" s="11"/>
      <c r="E2" s="11"/>
      <c r="F2" s="11"/>
      <c r="G2" s="11"/>
      <c r="H2" s="13"/>
      <c r="I2" s="84"/>
    </row>
    <row r="3" spans="1:9" ht="20.100000000000001" customHeight="1" x14ac:dyDescent="0.3">
      <c r="A3" s="14" t="str">
        <f>Composições!A3</f>
        <v>Data: Setembro de 2021</v>
      </c>
      <c r="B3" s="14"/>
      <c r="C3" s="133"/>
      <c r="D3" s="14"/>
      <c r="E3" s="14"/>
      <c r="F3" s="14"/>
      <c r="G3" s="14"/>
      <c r="H3" s="14"/>
      <c r="I3" s="84"/>
    </row>
    <row r="4" spans="1:9" ht="20.100000000000001" customHeight="1" thickBot="1" x14ac:dyDescent="0.35">
      <c r="A4" s="85"/>
      <c r="B4" s="86"/>
      <c r="C4" s="129"/>
      <c r="D4" s="86"/>
      <c r="E4" s="86"/>
      <c r="F4" s="86"/>
      <c r="G4" s="86"/>
      <c r="H4" s="87"/>
      <c r="I4" s="88"/>
    </row>
    <row r="5" spans="1:9" ht="65.099999999999994" customHeight="1" thickBot="1" x14ac:dyDescent="0.35">
      <c r="A5" s="102" t="s">
        <v>2</v>
      </c>
      <c r="B5" s="103" t="s">
        <v>3</v>
      </c>
      <c r="C5" s="130" t="s">
        <v>4</v>
      </c>
      <c r="D5" s="103" t="s">
        <v>5</v>
      </c>
      <c r="E5" s="103" t="s">
        <v>6</v>
      </c>
      <c r="F5" s="21" t="s">
        <v>7</v>
      </c>
      <c r="G5" s="21" t="s">
        <v>1485</v>
      </c>
      <c r="H5" s="24"/>
      <c r="I5" s="89" t="s">
        <v>9</v>
      </c>
    </row>
    <row r="6" spans="1:9" ht="15" thickBot="1" x14ac:dyDescent="0.35">
      <c r="A6" s="244" t="s">
        <v>1930</v>
      </c>
      <c r="B6" s="41" t="s">
        <v>560</v>
      </c>
      <c r="C6" s="78" t="s">
        <v>124</v>
      </c>
      <c r="D6" s="94"/>
      <c r="E6" s="42" t="s">
        <v>560</v>
      </c>
      <c r="F6" s="42" t="str">
        <f t="shared" ref="F6:F19" si="0">IF(ISNUMBER(E6),ROUND(E6*$D6,2),"")</f>
        <v/>
      </c>
      <c r="G6" s="29"/>
      <c r="H6" s="30"/>
      <c r="I6" s="156">
        <v>3294.7810880000006</v>
      </c>
    </row>
    <row r="7" spans="1:9" x14ac:dyDescent="0.3">
      <c r="A7" s="243"/>
      <c r="B7" s="32" t="s">
        <v>560</v>
      </c>
      <c r="C7" s="79"/>
      <c r="D7" s="92"/>
      <c r="E7" s="43" t="s">
        <v>560</v>
      </c>
      <c r="F7" s="31" t="str">
        <f t="shared" si="0"/>
        <v/>
      </c>
      <c r="G7" s="35"/>
      <c r="H7" s="31"/>
      <c r="I7" s="156">
        <v>3294.7810880000006</v>
      </c>
    </row>
    <row r="8" spans="1:9" ht="52.8" x14ac:dyDescent="0.3">
      <c r="A8" s="243"/>
      <c r="B8" s="36" t="s">
        <v>1120</v>
      </c>
      <c r="C8" s="50" t="s">
        <v>983</v>
      </c>
      <c r="D8" s="37">
        <v>1.3899999999999999E-2</v>
      </c>
      <c r="E8" s="34">
        <v>114.28249999999998</v>
      </c>
      <c r="F8" s="34">
        <f t="shared" si="0"/>
        <v>1.59</v>
      </c>
      <c r="G8" s="45">
        <f>SUM(F8:F9)</f>
        <v>1.79</v>
      </c>
      <c r="H8" s="46"/>
      <c r="I8" s="156">
        <v>3294.7810880000006</v>
      </c>
    </row>
    <row r="9" spans="1:9" ht="52.8" x14ac:dyDescent="0.3">
      <c r="A9" s="243"/>
      <c r="B9" s="36" t="s">
        <v>1121</v>
      </c>
      <c r="C9" s="50" t="s">
        <v>985</v>
      </c>
      <c r="D9" s="37">
        <v>6.0000000000000001E-3</v>
      </c>
      <c r="E9" s="34">
        <v>33.472999999999999</v>
      </c>
      <c r="F9" s="34">
        <f t="shared" si="0"/>
        <v>0.2</v>
      </c>
      <c r="G9" s="45"/>
      <c r="H9" s="46"/>
      <c r="I9" s="156">
        <v>3294.7810880000006</v>
      </c>
    </row>
    <row r="10" spans="1:9" ht="15" thickBot="1" x14ac:dyDescent="0.35">
      <c r="A10" s="245"/>
      <c r="B10" s="55" t="s">
        <v>560</v>
      </c>
      <c r="C10" s="80"/>
      <c r="D10" s="96"/>
      <c r="E10" s="67" t="s">
        <v>560</v>
      </c>
      <c r="F10" s="67" t="str">
        <f t="shared" si="0"/>
        <v/>
      </c>
      <c r="G10" s="69"/>
      <c r="H10" s="31"/>
      <c r="I10" s="156">
        <v>3294.7810880000006</v>
      </c>
    </row>
    <row r="11" spans="1:9" ht="15" thickBot="1" x14ac:dyDescent="0.35">
      <c r="A11" s="244" t="s">
        <v>1519</v>
      </c>
      <c r="B11" s="41" t="s">
        <v>560</v>
      </c>
      <c r="C11" s="78" t="s">
        <v>939</v>
      </c>
      <c r="D11" s="94"/>
      <c r="E11" s="28" t="s">
        <v>560</v>
      </c>
      <c r="F11" s="26" t="str">
        <f t="shared" si="0"/>
        <v/>
      </c>
      <c r="G11" s="29"/>
      <c r="H11" s="30"/>
      <c r="I11" s="156">
        <v>170.58519999999999</v>
      </c>
    </row>
    <row r="12" spans="1:9" x14ac:dyDescent="0.3">
      <c r="A12" s="243"/>
      <c r="B12" s="32" t="s">
        <v>560</v>
      </c>
      <c r="C12" s="79"/>
      <c r="D12" s="92"/>
      <c r="E12" s="31" t="s">
        <v>560</v>
      </c>
      <c r="F12" s="31" t="str">
        <f t="shared" si="0"/>
        <v/>
      </c>
      <c r="G12" s="35"/>
      <c r="H12" s="31"/>
      <c r="I12" s="156">
        <v>170.58519999999999</v>
      </c>
    </row>
    <row r="13" spans="1:9" x14ac:dyDescent="0.3">
      <c r="A13" s="243"/>
      <c r="B13" s="36" t="s">
        <v>1525</v>
      </c>
      <c r="C13" s="50" t="s">
        <v>939</v>
      </c>
      <c r="D13" s="37">
        <v>1.07</v>
      </c>
      <c r="E13" s="31">
        <v>9.7835000000000001</v>
      </c>
      <c r="F13" s="34">
        <f t="shared" si="0"/>
        <v>10.47</v>
      </c>
      <c r="G13" s="45">
        <f>SUM(F13:F15)</f>
        <v>12.570000000000002</v>
      </c>
      <c r="H13" s="46"/>
      <c r="I13" s="156">
        <v>170.58519999999999</v>
      </c>
    </row>
    <row r="14" spans="1:9" x14ac:dyDescent="0.3">
      <c r="A14" s="243"/>
      <c r="B14" s="36" t="s">
        <v>941</v>
      </c>
      <c r="C14" s="50" t="s">
        <v>744</v>
      </c>
      <c r="D14" s="37">
        <v>1.3100000000000001E-2</v>
      </c>
      <c r="E14" s="34">
        <v>15.674000000000001</v>
      </c>
      <c r="F14" s="34">
        <f t="shared" si="0"/>
        <v>0.21</v>
      </c>
      <c r="G14" s="45"/>
      <c r="H14" s="46"/>
      <c r="I14" s="156">
        <v>170.58519999999999</v>
      </c>
    </row>
    <row r="15" spans="1:9" x14ac:dyDescent="0.3">
      <c r="A15" s="243"/>
      <c r="B15" s="36" t="s">
        <v>942</v>
      </c>
      <c r="C15" s="50" t="s">
        <v>744</v>
      </c>
      <c r="D15" s="37">
        <v>9.3299999999999994E-2</v>
      </c>
      <c r="E15" s="31">
        <v>20.213000000000001</v>
      </c>
      <c r="F15" s="34">
        <f t="shared" si="0"/>
        <v>1.89</v>
      </c>
      <c r="G15" s="45"/>
      <c r="H15" s="46"/>
      <c r="I15" s="156">
        <v>170.58519999999999</v>
      </c>
    </row>
    <row r="16" spans="1:9" ht="15" thickBot="1" x14ac:dyDescent="0.35">
      <c r="A16" s="245"/>
      <c r="B16" s="55" t="s">
        <v>560</v>
      </c>
      <c r="C16" s="80"/>
      <c r="D16" s="96"/>
      <c r="E16" s="67" t="s">
        <v>560</v>
      </c>
      <c r="F16" s="68" t="str">
        <f t="shared" si="0"/>
        <v/>
      </c>
      <c r="G16" s="69"/>
      <c r="H16" s="31"/>
      <c r="I16" s="156">
        <v>170.58519999999999</v>
      </c>
    </row>
    <row r="17" spans="1:9" ht="15.75" customHeight="1" thickBot="1" x14ac:dyDescent="0.35">
      <c r="A17" s="244" t="s">
        <v>1931</v>
      </c>
      <c r="B17" s="41" t="s">
        <v>560</v>
      </c>
      <c r="C17" s="78" t="s">
        <v>122</v>
      </c>
      <c r="D17" s="94"/>
      <c r="E17" s="28" t="s">
        <v>560</v>
      </c>
      <c r="F17" s="26" t="str">
        <f t="shared" si="0"/>
        <v/>
      </c>
      <c r="G17" s="29"/>
      <c r="H17" s="30"/>
      <c r="I17" s="156">
        <v>164.73905440000001</v>
      </c>
    </row>
    <row r="18" spans="1:9" x14ac:dyDescent="0.3">
      <c r="A18" s="243"/>
      <c r="B18" s="32" t="s">
        <v>560</v>
      </c>
      <c r="C18" s="79"/>
      <c r="D18" s="92"/>
      <c r="E18" s="31" t="s">
        <v>560</v>
      </c>
      <c r="F18" s="31" t="str">
        <f t="shared" si="0"/>
        <v/>
      </c>
      <c r="G18" s="35"/>
      <c r="H18" s="31"/>
      <c r="I18" s="156">
        <v>164.73905440000001</v>
      </c>
    </row>
    <row r="19" spans="1:9" ht="39.6" x14ac:dyDescent="0.3">
      <c r="A19" s="243"/>
      <c r="B19" s="36" t="s">
        <v>1144</v>
      </c>
      <c r="C19" s="50" t="s">
        <v>983</v>
      </c>
      <c r="D19" s="37">
        <v>8.3000000000000001E-3</v>
      </c>
      <c r="E19" s="31">
        <v>129.59950000000001</v>
      </c>
      <c r="F19" s="34">
        <f t="shared" si="0"/>
        <v>1.08</v>
      </c>
      <c r="G19" s="45">
        <f>SUM(F19:F22)</f>
        <v>5.4550333000000002</v>
      </c>
      <c r="H19" s="46"/>
      <c r="I19" s="156">
        <v>164.73905440000001</v>
      </c>
    </row>
    <row r="20" spans="1:9" ht="39.6" x14ac:dyDescent="0.3">
      <c r="A20" s="243"/>
      <c r="B20" s="36" t="s">
        <v>1664</v>
      </c>
      <c r="C20" s="47" t="s">
        <v>985</v>
      </c>
      <c r="D20" s="37">
        <v>1.5100000000000001E-2</v>
      </c>
      <c r="E20" s="31">
        <v>42.661499999999997</v>
      </c>
      <c r="F20" s="34">
        <f>IF(ISNUMBER(E20),E20*$D20,"")</f>
        <v>0.64418865000000003</v>
      </c>
      <c r="G20" s="45"/>
      <c r="H20" s="46"/>
      <c r="I20" s="156">
        <v>164.73905440000001</v>
      </c>
    </row>
    <row r="21" spans="1:9" ht="52.8" x14ac:dyDescent="0.3">
      <c r="A21" s="243"/>
      <c r="B21" s="36" t="s">
        <v>1120</v>
      </c>
      <c r="C21" s="47" t="s">
        <v>983</v>
      </c>
      <c r="D21" s="37">
        <v>2.6700000000000002E-2</v>
      </c>
      <c r="E21" s="31">
        <v>114.28249999999998</v>
      </c>
      <c r="F21" s="34">
        <f>IF(ISNUMBER(E21),E21*$D21,"")</f>
        <v>3.0513427499999999</v>
      </c>
      <c r="G21" s="45"/>
      <c r="H21" s="46"/>
      <c r="I21" s="156">
        <v>164.73905440000001</v>
      </c>
    </row>
    <row r="22" spans="1:9" ht="52.8" x14ac:dyDescent="0.3">
      <c r="A22" s="243"/>
      <c r="B22" s="36" t="s">
        <v>1121</v>
      </c>
      <c r="C22" s="47" t="s">
        <v>985</v>
      </c>
      <c r="D22" s="37">
        <v>2.0299999999999999E-2</v>
      </c>
      <c r="E22" s="31">
        <v>33.472999999999999</v>
      </c>
      <c r="F22" s="34">
        <f>IF(ISNUMBER(E22),E22*$D22,"")</f>
        <v>0.67950189999999988</v>
      </c>
      <c r="G22" s="45"/>
      <c r="H22" s="46"/>
      <c r="I22" s="156">
        <v>164.73905440000001</v>
      </c>
    </row>
    <row r="23" spans="1:9" ht="15" thickBot="1" x14ac:dyDescent="0.35">
      <c r="A23" s="245"/>
      <c r="B23" s="55" t="s">
        <v>560</v>
      </c>
      <c r="C23" s="80"/>
      <c r="D23" s="96"/>
      <c r="E23" s="67" t="s">
        <v>560</v>
      </c>
      <c r="F23" s="68" t="str">
        <f t="shared" ref="F23:F30" si="1">IF(ISNUMBER(E23),ROUND(E23*$D23,2),"")</f>
        <v/>
      </c>
      <c r="G23" s="69"/>
      <c r="H23" s="31"/>
      <c r="I23" s="156">
        <v>164.73905440000001</v>
      </c>
    </row>
    <row r="24" spans="1:9" ht="15" hidden="1" thickBot="1" x14ac:dyDescent="0.35">
      <c r="A24" s="244" t="s">
        <v>1411</v>
      </c>
      <c r="B24" s="41" t="s">
        <v>560</v>
      </c>
      <c r="C24" s="78" t="s">
        <v>122</v>
      </c>
      <c r="D24" s="94"/>
      <c r="E24" s="42" t="s">
        <v>560</v>
      </c>
      <c r="F24" s="42" t="str">
        <f t="shared" si="1"/>
        <v/>
      </c>
      <c r="G24" s="29"/>
      <c r="H24" s="30"/>
      <c r="I24" s="156">
        <v>0</v>
      </c>
    </row>
    <row r="25" spans="1:9" ht="15" hidden="1" thickBot="1" x14ac:dyDescent="0.35">
      <c r="A25" s="243"/>
      <c r="B25" s="32" t="s">
        <v>560</v>
      </c>
      <c r="C25" s="79"/>
      <c r="D25" s="92"/>
      <c r="E25" s="98" t="s">
        <v>560</v>
      </c>
      <c r="F25" s="99" t="str">
        <f t="shared" si="1"/>
        <v/>
      </c>
      <c r="G25" s="35"/>
      <c r="H25" s="31"/>
      <c r="I25" s="156">
        <v>0</v>
      </c>
    </row>
    <row r="26" spans="1:9" ht="15" hidden="1" thickBot="1" x14ac:dyDescent="0.35">
      <c r="A26" s="243"/>
      <c r="B26" s="36" t="s">
        <v>115</v>
      </c>
      <c r="C26" s="50" t="s">
        <v>122</v>
      </c>
      <c r="D26" s="37">
        <v>1.36</v>
      </c>
      <c r="E26" s="34">
        <v>76.5</v>
      </c>
      <c r="F26" s="34">
        <f t="shared" si="1"/>
        <v>104.04</v>
      </c>
      <c r="G26" s="45">
        <f>SUM(F26:F32)</f>
        <v>450.96296444399997</v>
      </c>
      <c r="H26" s="46"/>
      <c r="I26" s="156">
        <v>0</v>
      </c>
    </row>
    <row r="27" spans="1:9" ht="15" hidden="1" thickBot="1" x14ac:dyDescent="0.35">
      <c r="A27" s="243"/>
      <c r="B27" s="36" t="s">
        <v>116</v>
      </c>
      <c r="C27" s="50" t="s">
        <v>939</v>
      </c>
      <c r="D27" s="37">
        <v>459.85</v>
      </c>
      <c r="E27" s="34">
        <v>0.46750000000000003</v>
      </c>
      <c r="F27" s="34">
        <f t="shared" si="1"/>
        <v>214.98</v>
      </c>
      <c r="G27" s="45"/>
      <c r="H27" s="46"/>
      <c r="I27" s="156">
        <v>0</v>
      </c>
    </row>
    <row r="28" spans="1:9" ht="27" hidden="1" thickBot="1" x14ac:dyDescent="0.35">
      <c r="A28" s="243"/>
      <c r="B28" s="36" t="s">
        <v>118</v>
      </c>
      <c r="C28" s="50" t="s">
        <v>744</v>
      </c>
      <c r="D28" s="37">
        <v>4.8499999999999996</v>
      </c>
      <c r="E28" s="31">
        <v>15.147</v>
      </c>
      <c r="F28" s="34">
        <f t="shared" si="1"/>
        <v>73.459999999999994</v>
      </c>
      <c r="G28" s="45"/>
      <c r="H28" s="46"/>
      <c r="I28" s="156">
        <v>0</v>
      </c>
    </row>
    <row r="29" spans="1:9" ht="27" hidden="1" thickBot="1" x14ac:dyDescent="0.35">
      <c r="A29" s="243"/>
      <c r="B29" s="36" t="s">
        <v>1494</v>
      </c>
      <c r="C29" s="50" t="s">
        <v>983</v>
      </c>
      <c r="D29" s="37">
        <v>1.1299999999999999</v>
      </c>
      <c r="E29" s="31">
        <v>1.2324999999999999</v>
      </c>
      <c r="F29" s="34">
        <f t="shared" si="1"/>
        <v>1.39</v>
      </c>
      <c r="G29" s="45"/>
      <c r="H29" s="46"/>
      <c r="I29" s="156">
        <v>0</v>
      </c>
    </row>
    <row r="30" spans="1:9" ht="27" hidden="1" thickBot="1" x14ac:dyDescent="0.35">
      <c r="A30" s="243"/>
      <c r="B30" s="36" t="s">
        <v>1495</v>
      </c>
      <c r="C30" s="50" t="s">
        <v>985</v>
      </c>
      <c r="D30" s="37">
        <v>3.72</v>
      </c>
      <c r="E30" s="31">
        <v>0.27200000000000002</v>
      </c>
      <c r="F30" s="34">
        <f t="shared" si="1"/>
        <v>1.01</v>
      </c>
      <c r="G30" s="45"/>
      <c r="H30" s="46"/>
      <c r="I30" s="156">
        <v>0</v>
      </c>
    </row>
    <row r="31" spans="1:9" ht="53.4" hidden="1" thickBot="1" x14ac:dyDescent="0.35">
      <c r="A31" s="243"/>
      <c r="B31" s="36" t="s">
        <v>1931</v>
      </c>
      <c r="C31" s="36" t="s">
        <v>122</v>
      </c>
      <c r="D31" s="37">
        <f>D26</f>
        <v>1.36</v>
      </c>
      <c r="E31" s="31">
        <v>5.4507091499999989</v>
      </c>
      <c r="F31" s="34">
        <f>IF(ISNUMBER(E31),E31*$D31,"")</f>
        <v>7.4129644439999991</v>
      </c>
      <c r="G31" s="45"/>
      <c r="H31" s="46"/>
      <c r="I31" s="156">
        <v>0</v>
      </c>
    </row>
    <row r="32" spans="1:9" ht="27" hidden="1" thickBot="1" x14ac:dyDescent="0.35">
      <c r="A32" s="243"/>
      <c r="B32" s="36" t="s">
        <v>1930</v>
      </c>
      <c r="C32" s="50" t="s">
        <v>124</v>
      </c>
      <c r="D32" s="37">
        <f>20*D26</f>
        <v>27.200000000000003</v>
      </c>
      <c r="E32" s="34">
        <v>1.7893647499999998</v>
      </c>
      <c r="F32" s="34">
        <f t="shared" ref="F32:F52" si="2">IF(ISNUMBER(E32),ROUND(E32*$D32,2),"")</f>
        <v>48.67</v>
      </c>
      <c r="G32" s="45"/>
      <c r="H32" s="46"/>
      <c r="I32" s="156">
        <v>0</v>
      </c>
    </row>
    <row r="33" spans="1:9" ht="15" hidden="1" thickBot="1" x14ac:dyDescent="0.35">
      <c r="A33" s="243"/>
      <c r="B33" s="51"/>
      <c r="C33" s="131"/>
      <c r="D33" s="37"/>
      <c r="E33" s="31" t="s">
        <v>560</v>
      </c>
      <c r="F33" s="34" t="str">
        <f t="shared" si="2"/>
        <v/>
      </c>
      <c r="G33" s="45"/>
      <c r="H33" s="46"/>
      <c r="I33" s="156">
        <v>0</v>
      </c>
    </row>
    <row r="34" spans="1:9" ht="15" hidden="1" thickBot="1" x14ac:dyDescent="0.35">
      <c r="A34" s="243"/>
      <c r="B34" s="48" t="s">
        <v>796</v>
      </c>
      <c r="C34" s="131"/>
      <c r="D34" s="37"/>
      <c r="E34" s="31" t="s">
        <v>560</v>
      </c>
      <c r="F34" s="34" t="str">
        <f t="shared" si="2"/>
        <v/>
      </c>
      <c r="G34" s="45"/>
      <c r="H34" s="46"/>
      <c r="I34" s="156">
        <v>0</v>
      </c>
    </row>
    <row r="35" spans="1:9" ht="15" hidden="1" thickBot="1" x14ac:dyDescent="0.35">
      <c r="A35" s="245"/>
      <c r="B35" s="104" t="s">
        <v>2383</v>
      </c>
      <c r="C35" s="80"/>
      <c r="D35" s="96"/>
      <c r="E35" s="67" t="s">
        <v>560</v>
      </c>
      <c r="F35" s="67" t="str">
        <f t="shared" si="2"/>
        <v/>
      </c>
      <c r="G35" s="69"/>
      <c r="H35" s="31"/>
      <c r="I35" s="156">
        <v>0</v>
      </c>
    </row>
    <row r="36" spans="1:9" ht="27.75" hidden="1" customHeight="1" thickBot="1" x14ac:dyDescent="0.35">
      <c r="A36" s="244" t="s">
        <v>2018</v>
      </c>
      <c r="B36" s="41" t="s">
        <v>560</v>
      </c>
      <c r="C36" s="78" t="s">
        <v>1035</v>
      </c>
      <c r="D36" s="94"/>
      <c r="E36" s="42" t="s">
        <v>560</v>
      </c>
      <c r="F36" s="42" t="str">
        <f t="shared" si="2"/>
        <v/>
      </c>
      <c r="G36" s="29"/>
      <c r="H36" s="30"/>
      <c r="I36" s="156">
        <v>0</v>
      </c>
    </row>
    <row r="37" spans="1:9" ht="27.75" hidden="1" customHeight="1" x14ac:dyDescent="0.3">
      <c r="A37" s="243"/>
      <c r="B37" s="32" t="s">
        <v>560</v>
      </c>
      <c r="C37" s="79"/>
      <c r="D37" s="92"/>
      <c r="E37" s="98" t="s">
        <v>560</v>
      </c>
      <c r="F37" s="99" t="str">
        <f t="shared" si="2"/>
        <v/>
      </c>
      <c r="G37" s="35"/>
      <c r="H37" s="31"/>
      <c r="I37" s="156">
        <v>0</v>
      </c>
    </row>
    <row r="38" spans="1:9" ht="27.75" hidden="1" customHeight="1" x14ac:dyDescent="0.3">
      <c r="A38" s="243"/>
      <c r="B38" s="36" t="s">
        <v>2036</v>
      </c>
      <c r="C38" s="50" t="s">
        <v>515</v>
      </c>
      <c r="D38" s="37">
        <v>4.4320000000000004</v>
      </c>
      <c r="E38" s="34">
        <v>2.1589999999999998</v>
      </c>
      <c r="F38" s="34">
        <f t="shared" si="2"/>
        <v>9.57</v>
      </c>
      <c r="G38" s="45">
        <f>SUM(F38:F44)</f>
        <v>172.72</v>
      </c>
      <c r="H38" s="46"/>
      <c r="I38" s="156">
        <v>0</v>
      </c>
    </row>
    <row r="39" spans="1:9" ht="27.75" hidden="1" customHeight="1" x14ac:dyDescent="0.3">
      <c r="A39" s="243"/>
      <c r="B39" s="36" t="s">
        <v>1434</v>
      </c>
      <c r="C39" s="50" t="s">
        <v>939</v>
      </c>
      <c r="D39" s="37">
        <v>8.5999999999999993E-2</v>
      </c>
      <c r="E39" s="34">
        <v>17.203999999999997</v>
      </c>
      <c r="F39" s="34">
        <f t="shared" si="2"/>
        <v>1.48</v>
      </c>
      <c r="G39" s="45"/>
      <c r="H39" s="46"/>
      <c r="I39" s="156">
        <v>0</v>
      </c>
    </row>
    <row r="40" spans="1:9" ht="27.75" hidden="1" customHeight="1" x14ac:dyDescent="0.3">
      <c r="A40" s="243"/>
      <c r="B40" s="36" t="s">
        <v>98</v>
      </c>
      <c r="C40" s="50" t="s">
        <v>515</v>
      </c>
      <c r="D40" s="37">
        <v>6.53</v>
      </c>
      <c r="E40" s="31">
        <v>21.819500000000001</v>
      </c>
      <c r="F40" s="34">
        <f t="shared" si="2"/>
        <v>142.47999999999999</v>
      </c>
      <c r="G40" s="45"/>
      <c r="H40" s="46"/>
      <c r="I40" s="156">
        <v>0</v>
      </c>
    </row>
    <row r="41" spans="1:9" ht="27.75" hidden="1" customHeight="1" x14ac:dyDescent="0.3">
      <c r="A41" s="243"/>
      <c r="B41" s="36" t="s">
        <v>827</v>
      </c>
      <c r="C41" s="50" t="s">
        <v>744</v>
      </c>
      <c r="D41" s="37">
        <v>0.14299999999999999</v>
      </c>
      <c r="E41" s="31">
        <v>16.966000000000001</v>
      </c>
      <c r="F41" s="34">
        <f t="shared" si="2"/>
        <v>2.4300000000000002</v>
      </c>
      <c r="G41" s="45"/>
      <c r="H41" s="46"/>
      <c r="I41" s="156">
        <v>0</v>
      </c>
    </row>
    <row r="42" spans="1:9" ht="27.75" hidden="1" customHeight="1" x14ac:dyDescent="0.3">
      <c r="A42" s="243"/>
      <c r="B42" s="36" t="s">
        <v>1036</v>
      </c>
      <c r="C42" s="50" t="s">
        <v>744</v>
      </c>
      <c r="D42" s="37">
        <v>0.71499999999999997</v>
      </c>
      <c r="E42" s="31">
        <v>20.128</v>
      </c>
      <c r="F42" s="34">
        <f t="shared" si="2"/>
        <v>14.39</v>
      </c>
      <c r="G42" s="45"/>
      <c r="H42" s="46"/>
      <c r="I42" s="156">
        <v>0</v>
      </c>
    </row>
    <row r="43" spans="1:9" ht="27.75" hidden="1" customHeight="1" x14ac:dyDescent="0.3">
      <c r="A43" s="243"/>
      <c r="B43" s="36" t="s">
        <v>1208</v>
      </c>
      <c r="C43" s="50" t="s">
        <v>983</v>
      </c>
      <c r="D43" s="37">
        <v>0.05</v>
      </c>
      <c r="E43" s="31">
        <v>17.807499999999997</v>
      </c>
      <c r="F43" s="34">
        <f t="shared" si="2"/>
        <v>0.89</v>
      </c>
      <c r="G43" s="45"/>
      <c r="H43" s="46"/>
      <c r="I43" s="156">
        <v>0</v>
      </c>
    </row>
    <row r="44" spans="1:9" ht="27.75" hidden="1" customHeight="1" x14ac:dyDescent="0.3">
      <c r="A44" s="243"/>
      <c r="B44" s="36" t="s">
        <v>1209</v>
      </c>
      <c r="C44" s="50" t="s">
        <v>985</v>
      </c>
      <c r="D44" s="37">
        <v>9.2999999999999999E-2</v>
      </c>
      <c r="E44" s="34">
        <v>15.911999999999999</v>
      </c>
      <c r="F44" s="34">
        <f t="shared" si="2"/>
        <v>1.48</v>
      </c>
      <c r="G44" s="45"/>
      <c r="H44" s="46"/>
      <c r="I44" s="156">
        <v>0</v>
      </c>
    </row>
    <row r="45" spans="1:9" ht="27.75" hidden="1" customHeight="1" thickBot="1" x14ac:dyDescent="0.35">
      <c r="A45" s="245"/>
      <c r="B45" s="104"/>
      <c r="C45" s="80"/>
      <c r="D45" s="96"/>
      <c r="E45" s="67" t="s">
        <v>560</v>
      </c>
      <c r="F45" s="67" t="str">
        <f t="shared" si="2"/>
        <v/>
      </c>
      <c r="G45" s="69"/>
      <c r="H45" s="31"/>
      <c r="I45" s="156">
        <v>0</v>
      </c>
    </row>
    <row r="46" spans="1:9" ht="15" hidden="1" thickBot="1" x14ac:dyDescent="0.35">
      <c r="A46" s="244" t="s">
        <v>1688</v>
      </c>
      <c r="B46" s="41" t="s">
        <v>560</v>
      </c>
      <c r="C46" s="78" t="s">
        <v>122</v>
      </c>
      <c r="D46" s="94"/>
      <c r="E46" s="42" t="s">
        <v>560</v>
      </c>
      <c r="F46" s="42" t="str">
        <f t="shared" si="2"/>
        <v/>
      </c>
      <c r="G46" s="29"/>
      <c r="H46" s="30"/>
      <c r="I46" s="156">
        <v>0</v>
      </c>
    </row>
    <row r="47" spans="1:9" ht="15" hidden="1" thickBot="1" x14ac:dyDescent="0.35">
      <c r="A47" s="243"/>
      <c r="B47" s="32" t="s">
        <v>560</v>
      </c>
      <c r="C47" s="79"/>
      <c r="D47" s="92"/>
      <c r="E47" s="98" t="s">
        <v>560</v>
      </c>
      <c r="F47" s="99" t="str">
        <f t="shared" si="2"/>
        <v/>
      </c>
      <c r="G47" s="35"/>
      <c r="H47" s="31"/>
      <c r="I47" s="156">
        <v>0</v>
      </c>
    </row>
    <row r="48" spans="1:9" ht="27" hidden="1" thickBot="1" x14ac:dyDescent="0.35">
      <c r="A48" s="243"/>
      <c r="B48" s="36" t="s">
        <v>1349</v>
      </c>
      <c r="C48" s="50" t="s">
        <v>122</v>
      </c>
      <c r="D48" s="37">
        <v>0.95</v>
      </c>
      <c r="E48" s="34">
        <v>119.34</v>
      </c>
      <c r="F48" s="34">
        <f t="shared" si="2"/>
        <v>113.37</v>
      </c>
      <c r="G48" s="45">
        <f>SUM(F48:F57)</f>
        <v>419.50817369250001</v>
      </c>
      <c r="H48" s="46"/>
      <c r="I48" s="156">
        <v>0</v>
      </c>
    </row>
    <row r="49" spans="1:9" ht="15" hidden="1" thickBot="1" x14ac:dyDescent="0.35">
      <c r="A49" s="243"/>
      <c r="B49" s="36" t="s">
        <v>789</v>
      </c>
      <c r="C49" s="50" t="s">
        <v>939</v>
      </c>
      <c r="D49" s="37">
        <v>426.49</v>
      </c>
      <c r="E49" s="34">
        <v>0.46750000000000003</v>
      </c>
      <c r="F49" s="34">
        <f t="shared" si="2"/>
        <v>199.38</v>
      </c>
      <c r="G49" s="45"/>
      <c r="H49" s="46"/>
      <c r="I49" s="156">
        <v>0</v>
      </c>
    </row>
    <row r="50" spans="1:9" ht="27" hidden="1" thickBot="1" x14ac:dyDescent="0.35">
      <c r="A50" s="243"/>
      <c r="B50" s="36" t="s">
        <v>1513</v>
      </c>
      <c r="C50" s="50" t="s">
        <v>744</v>
      </c>
      <c r="D50" s="37">
        <v>4.32</v>
      </c>
      <c r="E50" s="31">
        <v>15.147</v>
      </c>
      <c r="F50" s="34">
        <f t="shared" si="2"/>
        <v>65.44</v>
      </c>
      <c r="G50" s="45"/>
      <c r="H50" s="46"/>
      <c r="I50" s="156">
        <v>0</v>
      </c>
    </row>
    <row r="51" spans="1:9" ht="40.200000000000003" hidden="1" thickBot="1" x14ac:dyDescent="0.35">
      <c r="A51" s="243"/>
      <c r="B51" s="36" t="s">
        <v>119</v>
      </c>
      <c r="C51" s="50" t="s">
        <v>983</v>
      </c>
      <c r="D51" s="37">
        <v>1.01</v>
      </c>
      <c r="E51" s="31">
        <v>1.2324999999999999</v>
      </c>
      <c r="F51" s="34">
        <f t="shared" si="2"/>
        <v>1.24</v>
      </c>
      <c r="G51" s="45"/>
      <c r="H51" s="46"/>
      <c r="I51" s="156">
        <v>0</v>
      </c>
    </row>
    <row r="52" spans="1:9" ht="40.200000000000003" hidden="1" thickBot="1" x14ac:dyDescent="0.35">
      <c r="A52" s="243"/>
      <c r="B52" s="36" t="s">
        <v>120</v>
      </c>
      <c r="C52" s="50" t="s">
        <v>985</v>
      </c>
      <c r="D52" s="37">
        <v>3.31</v>
      </c>
      <c r="E52" s="31">
        <v>0.27200000000000002</v>
      </c>
      <c r="F52" s="34">
        <f t="shared" si="2"/>
        <v>0.9</v>
      </c>
      <c r="G52" s="45"/>
      <c r="H52" s="46"/>
      <c r="I52" s="156">
        <v>0</v>
      </c>
    </row>
    <row r="53" spans="1:9" ht="53.4" hidden="1" thickBot="1" x14ac:dyDescent="0.35">
      <c r="A53" s="243"/>
      <c r="B53" s="36" t="s">
        <v>1931</v>
      </c>
      <c r="C53" s="36" t="s">
        <v>122</v>
      </c>
      <c r="D53" s="37">
        <f>D48</f>
        <v>0.95</v>
      </c>
      <c r="E53" s="31">
        <v>5.4507091499999989</v>
      </c>
      <c r="F53" s="34">
        <f>IF(ISNUMBER(E53),E53*$D53,"")</f>
        <v>5.1781736924999988</v>
      </c>
      <c r="G53" s="45"/>
      <c r="H53" s="46"/>
      <c r="I53" s="156">
        <v>0</v>
      </c>
    </row>
    <row r="54" spans="1:9" ht="27" hidden="1" thickBot="1" x14ac:dyDescent="0.35">
      <c r="A54" s="243"/>
      <c r="B54" s="36" t="s">
        <v>1930</v>
      </c>
      <c r="C54" s="50" t="s">
        <v>124</v>
      </c>
      <c r="D54" s="37">
        <f>20*D48</f>
        <v>19</v>
      </c>
      <c r="E54" s="34">
        <v>1.7893647499999998</v>
      </c>
      <c r="F54" s="34">
        <f t="shared" ref="F54:F65" si="3">IF(ISNUMBER(E54),ROUND(E54*$D54,2),"")</f>
        <v>34</v>
      </c>
      <c r="G54" s="45"/>
      <c r="H54" s="46"/>
      <c r="I54" s="156">
        <v>0</v>
      </c>
    </row>
    <row r="55" spans="1:9" ht="15" hidden="1" thickBot="1" x14ac:dyDescent="0.35">
      <c r="A55" s="243"/>
      <c r="B55" s="51"/>
      <c r="C55" s="131"/>
      <c r="D55" s="37"/>
      <c r="E55" s="31" t="s">
        <v>560</v>
      </c>
      <c r="F55" s="34" t="str">
        <f t="shared" si="3"/>
        <v/>
      </c>
      <c r="G55" s="45"/>
      <c r="H55" s="46"/>
      <c r="I55" s="156">
        <v>0</v>
      </c>
    </row>
    <row r="56" spans="1:9" ht="15" hidden="1" thickBot="1" x14ac:dyDescent="0.35">
      <c r="A56" s="243"/>
      <c r="B56" s="48" t="s">
        <v>796</v>
      </c>
      <c r="C56" s="131"/>
      <c r="D56" s="37"/>
      <c r="E56" s="31" t="s">
        <v>560</v>
      </c>
      <c r="F56" s="34" t="str">
        <f t="shared" si="3"/>
        <v/>
      </c>
      <c r="G56" s="45"/>
      <c r="H56" s="46"/>
      <c r="I56" s="156">
        <v>0</v>
      </c>
    </row>
    <row r="57" spans="1:9" ht="15" hidden="1" thickBot="1" x14ac:dyDescent="0.35">
      <c r="A57" s="243"/>
      <c r="B57" s="158" t="s">
        <v>2023</v>
      </c>
      <c r="C57" s="159"/>
      <c r="D57" s="160"/>
      <c r="E57" s="31" t="s">
        <v>560</v>
      </c>
      <c r="F57" s="31" t="str">
        <f t="shared" si="3"/>
        <v/>
      </c>
      <c r="G57" s="45"/>
      <c r="H57" s="46"/>
      <c r="I57" s="156">
        <v>0</v>
      </c>
    </row>
    <row r="58" spans="1:9" ht="15" hidden="1" thickBot="1" x14ac:dyDescent="0.35">
      <c r="A58" s="245"/>
      <c r="B58" s="104"/>
      <c r="C58" s="80"/>
      <c r="D58" s="96"/>
      <c r="E58" s="67" t="s">
        <v>560</v>
      </c>
      <c r="F58" s="67" t="str">
        <f t="shared" si="3"/>
        <v/>
      </c>
      <c r="G58" s="69"/>
      <c r="H58" s="31"/>
      <c r="I58" s="156">
        <v>0</v>
      </c>
    </row>
    <row r="59" spans="1:9" ht="15" hidden="1" thickBot="1" x14ac:dyDescent="0.35">
      <c r="A59" s="244" t="s">
        <v>157</v>
      </c>
      <c r="B59" s="41" t="s">
        <v>560</v>
      </c>
      <c r="C59" s="78" t="s">
        <v>122</v>
      </c>
      <c r="D59" s="94"/>
      <c r="E59" s="42" t="s">
        <v>560</v>
      </c>
      <c r="F59" s="42" t="str">
        <f t="shared" si="3"/>
        <v/>
      </c>
      <c r="G59" s="29"/>
      <c r="H59" s="30"/>
      <c r="I59" s="156">
        <v>0</v>
      </c>
    </row>
    <row r="60" spans="1:9" ht="15" hidden="1" thickBot="1" x14ac:dyDescent="0.35">
      <c r="A60" s="243"/>
      <c r="B60" s="32" t="s">
        <v>560</v>
      </c>
      <c r="C60" s="79"/>
      <c r="D60" s="92"/>
      <c r="E60" s="98" t="s">
        <v>560</v>
      </c>
      <c r="F60" s="99" t="str">
        <f t="shared" si="3"/>
        <v/>
      </c>
      <c r="G60" s="35"/>
      <c r="H60" s="31"/>
      <c r="I60" s="156">
        <v>0</v>
      </c>
    </row>
    <row r="61" spans="1:9" ht="27" hidden="1" thickBot="1" x14ac:dyDescent="0.35">
      <c r="A61" s="243"/>
      <c r="B61" s="36" t="s">
        <v>793</v>
      </c>
      <c r="C61" s="50" t="s">
        <v>122</v>
      </c>
      <c r="D61" s="37">
        <v>1.1599999999999999</v>
      </c>
      <c r="E61" s="34">
        <v>76.5</v>
      </c>
      <c r="F61" s="34">
        <f t="shared" si="3"/>
        <v>88.74</v>
      </c>
      <c r="G61" s="45">
        <f>SUM(F61:F70)</f>
        <v>436.69282261400008</v>
      </c>
      <c r="H61" s="46"/>
      <c r="I61" s="156">
        <v>0</v>
      </c>
    </row>
    <row r="62" spans="1:9" ht="15" hidden="1" thickBot="1" x14ac:dyDescent="0.35">
      <c r="A62" s="243"/>
      <c r="B62" s="36" t="s">
        <v>1515</v>
      </c>
      <c r="C62" s="50" t="s">
        <v>939</v>
      </c>
      <c r="D62" s="37">
        <v>174.1</v>
      </c>
      <c r="E62" s="34">
        <v>0.79899999999999993</v>
      </c>
      <c r="F62" s="34">
        <f t="shared" si="3"/>
        <v>139.11000000000001</v>
      </c>
      <c r="G62" s="45"/>
      <c r="H62" s="46"/>
      <c r="I62" s="156">
        <v>0</v>
      </c>
    </row>
    <row r="63" spans="1:9" ht="15" hidden="1" thickBot="1" x14ac:dyDescent="0.35">
      <c r="A63" s="243"/>
      <c r="B63" s="36" t="s">
        <v>789</v>
      </c>
      <c r="C63" s="50" t="s">
        <v>939</v>
      </c>
      <c r="D63" s="37">
        <v>195.86</v>
      </c>
      <c r="E63" s="31">
        <v>0.46750000000000003</v>
      </c>
      <c r="F63" s="34">
        <f t="shared" si="3"/>
        <v>91.56</v>
      </c>
      <c r="G63" s="45"/>
      <c r="H63" s="46"/>
      <c r="I63" s="156">
        <v>0</v>
      </c>
    </row>
    <row r="64" spans="1:9" ht="27" hidden="1" thickBot="1" x14ac:dyDescent="0.35">
      <c r="A64" s="243"/>
      <c r="B64" s="36" t="s">
        <v>1513</v>
      </c>
      <c r="C64" s="50" t="s">
        <v>744</v>
      </c>
      <c r="D64" s="37">
        <v>4.5</v>
      </c>
      <c r="E64" s="31">
        <v>15.147</v>
      </c>
      <c r="F64" s="34">
        <f t="shared" si="3"/>
        <v>68.16</v>
      </c>
      <c r="G64" s="45"/>
      <c r="H64" s="46"/>
      <c r="I64" s="156">
        <v>0</v>
      </c>
    </row>
    <row r="65" spans="1:9" ht="40.200000000000003" hidden="1" thickBot="1" x14ac:dyDescent="0.35">
      <c r="A65" s="243"/>
      <c r="B65" s="36" t="s">
        <v>119</v>
      </c>
      <c r="C65" s="50" t="s">
        <v>983</v>
      </c>
      <c r="D65" s="37">
        <v>1.05</v>
      </c>
      <c r="E65" s="31">
        <v>1.2324999999999999</v>
      </c>
      <c r="F65" s="34">
        <f t="shared" si="3"/>
        <v>1.29</v>
      </c>
      <c r="G65" s="45"/>
      <c r="H65" s="46"/>
      <c r="I65" s="156">
        <v>0</v>
      </c>
    </row>
    <row r="66" spans="1:9" ht="53.4" hidden="1" thickBot="1" x14ac:dyDescent="0.35">
      <c r="A66" s="243"/>
      <c r="B66" s="36" t="s">
        <v>1931</v>
      </c>
      <c r="C66" s="36" t="s">
        <v>122</v>
      </c>
      <c r="D66" s="37">
        <f>D61</f>
        <v>1.1599999999999999</v>
      </c>
      <c r="E66" s="31">
        <v>5.4507091499999989</v>
      </c>
      <c r="F66" s="34">
        <f>IF(ISNUMBER(E66),E66*$D66,"")</f>
        <v>6.3228226139999979</v>
      </c>
      <c r="G66" s="45"/>
      <c r="H66" s="46"/>
      <c r="I66" s="156">
        <v>0</v>
      </c>
    </row>
    <row r="67" spans="1:9" ht="27" hidden="1" thickBot="1" x14ac:dyDescent="0.35">
      <c r="A67" s="243"/>
      <c r="B67" s="36" t="s">
        <v>1930</v>
      </c>
      <c r="C67" s="50" t="s">
        <v>124</v>
      </c>
      <c r="D67" s="37">
        <f>20*D61</f>
        <v>23.2</v>
      </c>
      <c r="E67" s="34">
        <v>1.7893647499999998</v>
      </c>
      <c r="F67" s="34">
        <f t="shared" ref="F67:F78" si="4">IF(ISNUMBER(E67),ROUND(E67*$D67,2),"")</f>
        <v>41.51</v>
      </c>
      <c r="G67" s="45"/>
      <c r="H67" s="46"/>
      <c r="I67" s="156">
        <v>0</v>
      </c>
    </row>
    <row r="68" spans="1:9" ht="15" hidden="1" thickBot="1" x14ac:dyDescent="0.35">
      <c r="A68" s="243"/>
      <c r="B68" s="51"/>
      <c r="C68" s="131"/>
      <c r="D68" s="37"/>
      <c r="E68" s="31" t="s">
        <v>560</v>
      </c>
      <c r="F68" s="34" t="str">
        <f t="shared" si="4"/>
        <v/>
      </c>
      <c r="G68" s="45"/>
      <c r="H68" s="46"/>
      <c r="I68" s="156">
        <v>0</v>
      </c>
    </row>
    <row r="69" spans="1:9" ht="15" hidden="1" thickBot="1" x14ac:dyDescent="0.35">
      <c r="A69" s="243"/>
      <c r="B69" s="48" t="s">
        <v>796</v>
      </c>
      <c r="C69" s="131"/>
      <c r="D69" s="37"/>
      <c r="E69" s="31" t="s">
        <v>560</v>
      </c>
      <c r="F69" s="34" t="str">
        <f t="shared" si="4"/>
        <v/>
      </c>
      <c r="G69" s="45"/>
      <c r="H69" s="46"/>
      <c r="I69" s="156">
        <v>0</v>
      </c>
    </row>
    <row r="70" spans="1:9" ht="15" hidden="1" thickBot="1" x14ac:dyDescent="0.35">
      <c r="A70" s="243"/>
      <c r="B70" s="158" t="s">
        <v>2023</v>
      </c>
      <c r="C70" s="159"/>
      <c r="D70" s="160"/>
      <c r="E70" s="31" t="s">
        <v>560</v>
      </c>
      <c r="F70" s="31" t="str">
        <f t="shared" si="4"/>
        <v/>
      </c>
      <c r="G70" s="45"/>
      <c r="H70" s="46"/>
      <c r="I70" s="156">
        <v>0</v>
      </c>
    </row>
    <row r="71" spans="1:9" ht="15" hidden="1" thickBot="1" x14ac:dyDescent="0.35">
      <c r="A71" s="245"/>
      <c r="B71" s="104"/>
      <c r="C71" s="80"/>
      <c r="D71" s="96"/>
      <c r="E71" s="67" t="s">
        <v>560</v>
      </c>
      <c r="F71" s="67" t="str">
        <f t="shared" si="4"/>
        <v/>
      </c>
      <c r="G71" s="69"/>
      <c r="H71" s="31"/>
      <c r="I71" s="156">
        <v>0</v>
      </c>
    </row>
    <row r="72" spans="1:9" ht="27.75" customHeight="1" thickBot="1" x14ac:dyDescent="0.35">
      <c r="A72" s="244" t="s">
        <v>1210</v>
      </c>
      <c r="B72" s="41" t="s">
        <v>560</v>
      </c>
      <c r="C72" s="78" t="s">
        <v>939</v>
      </c>
      <c r="D72" s="94"/>
      <c r="E72" s="42" t="s">
        <v>560</v>
      </c>
      <c r="F72" s="42" t="str">
        <f t="shared" si="4"/>
        <v/>
      </c>
      <c r="G72" s="29"/>
      <c r="H72" s="30"/>
      <c r="I72" s="156">
        <v>11.848206440000002</v>
      </c>
    </row>
    <row r="73" spans="1:9" ht="27.75" customHeight="1" x14ac:dyDescent="0.3">
      <c r="A73" s="243"/>
      <c r="B73" s="32" t="s">
        <v>560</v>
      </c>
      <c r="C73" s="79"/>
      <c r="D73" s="92"/>
      <c r="E73" s="98" t="s">
        <v>560</v>
      </c>
      <c r="F73" s="99" t="str">
        <f t="shared" si="4"/>
        <v/>
      </c>
      <c r="G73" s="35"/>
      <c r="H73" s="31"/>
      <c r="I73" s="156">
        <v>11.848206440000002</v>
      </c>
    </row>
    <row r="74" spans="1:9" ht="27.75" customHeight="1" x14ac:dyDescent="0.3">
      <c r="A74" s="243"/>
      <c r="B74" s="36" t="s">
        <v>940</v>
      </c>
      <c r="C74" s="50" t="s">
        <v>292</v>
      </c>
      <c r="D74" s="37">
        <v>2.8159999999999998</v>
      </c>
      <c r="E74" s="34">
        <v>0.17849999999999999</v>
      </c>
      <c r="F74" s="34">
        <f t="shared" si="4"/>
        <v>0.5</v>
      </c>
      <c r="G74" s="45">
        <f>SUM(F74:F78)</f>
        <v>17.87</v>
      </c>
      <c r="H74" s="46"/>
      <c r="I74" s="156">
        <v>11.848206440000002</v>
      </c>
    </row>
    <row r="75" spans="1:9" ht="27.75" customHeight="1" x14ac:dyDescent="0.3">
      <c r="A75" s="243"/>
      <c r="B75" s="36" t="s">
        <v>1912</v>
      </c>
      <c r="C75" s="50" t="s">
        <v>939</v>
      </c>
      <c r="D75" s="37">
        <v>2.5000000000000001E-2</v>
      </c>
      <c r="E75" s="34">
        <v>19.465</v>
      </c>
      <c r="F75" s="34">
        <f t="shared" si="4"/>
        <v>0.49</v>
      </c>
      <c r="G75" s="45"/>
      <c r="H75" s="46"/>
      <c r="I75" s="156">
        <v>11.848206440000002</v>
      </c>
    </row>
    <row r="76" spans="1:9" ht="27.75" customHeight="1" x14ac:dyDescent="0.3">
      <c r="A76" s="243"/>
      <c r="B76" s="36" t="s">
        <v>941</v>
      </c>
      <c r="C76" s="50" t="s">
        <v>744</v>
      </c>
      <c r="D76" s="37">
        <v>3.1E-2</v>
      </c>
      <c r="E76" s="31">
        <v>15.674000000000001</v>
      </c>
      <c r="F76" s="34">
        <f t="shared" si="4"/>
        <v>0.49</v>
      </c>
      <c r="G76" s="45"/>
      <c r="H76" s="46"/>
      <c r="I76" s="156">
        <v>11.848206440000002</v>
      </c>
    </row>
    <row r="77" spans="1:9" ht="27.75" customHeight="1" x14ac:dyDescent="0.3">
      <c r="A77" s="243"/>
      <c r="B77" s="36" t="s">
        <v>942</v>
      </c>
      <c r="C77" s="50" t="s">
        <v>744</v>
      </c>
      <c r="D77" s="37">
        <v>0.18959999999999999</v>
      </c>
      <c r="E77" s="31">
        <v>20.213000000000001</v>
      </c>
      <c r="F77" s="34">
        <f t="shared" si="4"/>
        <v>3.83</v>
      </c>
      <c r="G77" s="45"/>
      <c r="H77" s="46"/>
      <c r="I77" s="156">
        <v>11.848206440000002</v>
      </c>
    </row>
    <row r="78" spans="1:9" ht="27.75" customHeight="1" x14ac:dyDescent="0.3">
      <c r="A78" s="243"/>
      <c r="B78" s="36" t="s">
        <v>1519</v>
      </c>
      <c r="C78" s="50" t="s">
        <v>939</v>
      </c>
      <c r="D78" s="37">
        <v>1</v>
      </c>
      <c r="E78" s="31">
        <v>12.5595473</v>
      </c>
      <c r="F78" s="34">
        <f t="shared" si="4"/>
        <v>12.56</v>
      </c>
      <c r="G78" s="45"/>
      <c r="H78" s="46"/>
      <c r="I78" s="156">
        <v>11.848206440000002</v>
      </c>
    </row>
    <row r="79" spans="1:9" ht="27.75" customHeight="1" thickBot="1" x14ac:dyDescent="0.35">
      <c r="A79" s="245"/>
      <c r="B79" s="104"/>
      <c r="C79" s="80"/>
      <c r="D79" s="96"/>
      <c r="E79" s="67" t="s">
        <v>560</v>
      </c>
      <c r="F79" s="67" t="str">
        <f t="shared" ref="F79:F86" si="5">IF(ISNUMBER(E79),ROUND(E79*$D79,2),"")</f>
        <v/>
      </c>
      <c r="G79" s="69"/>
      <c r="H79" s="31"/>
      <c r="I79" s="156">
        <v>11.848206440000002</v>
      </c>
    </row>
    <row r="80" spans="1:9" ht="15" thickBot="1" x14ac:dyDescent="0.35">
      <c r="A80" s="244" t="s">
        <v>1678</v>
      </c>
      <c r="B80" s="41" t="s">
        <v>560</v>
      </c>
      <c r="C80" s="78" t="s">
        <v>122</v>
      </c>
      <c r="D80" s="94"/>
      <c r="E80" s="42" t="s">
        <v>560</v>
      </c>
      <c r="F80" s="42" t="str">
        <f t="shared" si="5"/>
        <v/>
      </c>
      <c r="G80" s="29"/>
      <c r="H80" s="30"/>
      <c r="I80" s="156">
        <v>0.30912000000000001</v>
      </c>
    </row>
    <row r="81" spans="1:9" x14ac:dyDescent="0.3">
      <c r="A81" s="243"/>
      <c r="B81" s="32" t="s">
        <v>560</v>
      </c>
      <c r="C81" s="79"/>
      <c r="D81" s="92"/>
      <c r="E81" s="98" t="s">
        <v>560</v>
      </c>
      <c r="F81" s="99" t="str">
        <f t="shared" si="5"/>
        <v/>
      </c>
      <c r="G81" s="35"/>
      <c r="H81" s="31"/>
      <c r="I81" s="156">
        <v>0.30912000000000001</v>
      </c>
    </row>
    <row r="82" spans="1:9" ht="26.4" x14ac:dyDescent="0.3">
      <c r="A82" s="243"/>
      <c r="B82" s="36" t="s">
        <v>793</v>
      </c>
      <c r="C82" s="50" t="s">
        <v>122</v>
      </c>
      <c r="D82" s="37">
        <v>0.71199999999999997</v>
      </c>
      <c r="E82" s="34">
        <v>76.5</v>
      </c>
      <c r="F82" s="34">
        <f t="shared" si="5"/>
        <v>54.47</v>
      </c>
      <c r="G82" s="45">
        <f>SUM(F82:F90)</f>
        <v>408.48356022800505</v>
      </c>
      <c r="H82" s="46"/>
      <c r="I82" s="156">
        <v>0.30912000000000001</v>
      </c>
    </row>
    <row r="83" spans="1:9" x14ac:dyDescent="0.3">
      <c r="A83" s="243"/>
      <c r="B83" s="36" t="s">
        <v>789</v>
      </c>
      <c r="C83" s="50" t="s">
        <v>939</v>
      </c>
      <c r="D83" s="37">
        <v>391.17</v>
      </c>
      <c r="E83" s="34">
        <v>0.46750000000000003</v>
      </c>
      <c r="F83" s="34">
        <f t="shared" si="5"/>
        <v>182.87</v>
      </c>
      <c r="G83" s="45"/>
      <c r="H83" s="46"/>
      <c r="I83" s="156">
        <v>0.30912000000000001</v>
      </c>
    </row>
    <row r="84" spans="1:9" ht="26.4" x14ac:dyDescent="0.3">
      <c r="A84" s="243"/>
      <c r="B84" s="36" t="s">
        <v>801</v>
      </c>
      <c r="C84" s="50" t="s">
        <v>122</v>
      </c>
      <c r="D84" s="37">
        <v>0.5927</v>
      </c>
      <c r="E84" s="31">
        <v>111.82599999999999</v>
      </c>
      <c r="F84" s="34">
        <f t="shared" si="5"/>
        <v>66.28</v>
      </c>
      <c r="G84" s="45"/>
      <c r="H84" s="46"/>
      <c r="I84" s="156">
        <v>0.30912000000000001</v>
      </c>
    </row>
    <row r="85" spans="1:9" x14ac:dyDescent="0.3">
      <c r="A85" s="243"/>
      <c r="B85" s="36" t="s">
        <v>745</v>
      </c>
      <c r="C85" s="50" t="s">
        <v>744</v>
      </c>
      <c r="D85" s="37">
        <v>1.96</v>
      </c>
      <c r="E85" s="31">
        <v>14.968499999999999</v>
      </c>
      <c r="F85" s="34">
        <f t="shared" si="5"/>
        <v>29.34</v>
      </c>
      <c r="G85" s="45"/>
      <c r="H85" s="46"/>
      <c r="I85" s="156">
        <v>0.30912000000000001</v>
      </c>
    </row>
    <row r="86" spans="1:9" ht="26.4" x14ac:dyDescent="0.3">
      <c r="A86" s="243"/>
      <c r="B86" s="36" t="s">
        <v>1513</v>
      </c>
      <c r="C86" s="50" t="s">
        <v>744</v>
      </c>
      <c r="D86" s="37">
        <v>1.24</v>
      </c>
      <c r="E86" s="31">
        <v>15.147</v>
      </c>
      <c r="F86" s="34">
        <f t="shared" si="5"/>
        <v>18.78</v>
      </c>
      <c r="G86" s="45"/>
      <c r="H86" s="46"/>
      <c r="I86" s="156">
        <v>0.30912000000000001</v>
      </c>
    </row>
    <row r="87" spans="1:9" ht="39.6" x14ac:dyDescent="0.3">
      <c r="A87" s="243"/>
      <c r="B87" s="36" t="s">
        <v>1433</v>
      </c>
      <c r="C87" s="36" t="s">
        <v>983</v>
      </c>
      <c r="D87" s="37">
        <v>0.64</v>
      </c>
      <c r="E87" s="31">
        <v>3.5275000000000003</v>
      </c>
      <c r="F87" s="34">
        <f t="shared" ref="F87:F88" si="6">IF(ISNUMBER(E87),E87*$D87,"")</f>
        <v>2.2576000000000001</v>
      </c>
      <c r="G87" s="45"/>
      <c r="H87" s="46"/>
      <c r="I87" s="156">
        <v>0.30912000000000001</v>
      </c>
    </row>
    <row r="88" spans="1:9" ht="39.6" x14ac:dyDescent="0.3">
      <c r="A88" s="243"/>
      <c r="B88" s="36" t="s">
        <v>1514</v>
      </c>
      <c r="C88" s="47" t="s">
        <v>985</v>
      </c>
      <c r="D88" s="37">
        <v>0.61</v>
      </c>
      <c r="E88" s="31">
        <v>1.1220000000000001</v>
      </c>
      <c r="F88" s="34">
        <f t="shared" si="6"/>
        <v>0.68442000000000003</v>
      </c>
      <c r="G88" s="45"/>
      <c r="H88" s="46"/>
      <c r="I88" s="156">
        <v>0.30912000000000001</v>
      </c>
    </row>
    <row r="89" spans="1:9" ht="52.8" x14ac:dyDescent="0.3">
      <c r="A89" s="243"/>
      <c r="B89" s="36" t="s">
        <v>1931</v>
      </c>
      <c r="C89" s="36" t="s">
        <v>122</v>
      </c>
      <c r="D89" s="37">
        <f>D82+D84</f>
        <v>1.3047</v>
      </c>
      <c r="E89" s="31">
        <v>5.4507091499999989</v>
      </c>
      <c r="F89" s="34">
        <f t="shared" ref="F89" si="7">IF(ISNUMBER(E89),E89*$D89,"")</f>
        <v>7.1115402280049986</v>
      </c>
      <c r="G89" s="45"/>
      <c r="H89" s="46"/>
      <c r="I89" s="156">
        <v>0.30912000000000001</v>
      </c>
    </row>
    <row r="90" spans="1:9" ht="26.4" x14ac:dyDescent="0.3">
      <c r="A90" s="243"/>
      <c r="B90" s="36" t="s">
        <v>1930</v>
      </c>
      <c r="C90" s="50" t="s">
        <v>124</v>
      </c>
      <c r="D90" s="37">
        <f>20*(D82+D84)</f>
        <v>26.094000000000001</v>
      </c>
      <c r="E90" s="34">
        <v>1.7893647499999998</v>
      </c>
      <c r="F90" s="34">
        <f>IF(ISNUMBER(E90),ROUND(E90*$D90,2),"")</f>
        <v>46.69</v>
      </c>
      <c r="G90" s="45"/>
      <c r="H90" s="46"/>
      <c r="I90" s="156">
        <v>0.30912000000000001</v>
      </c>
    </row>
    <row r="91" spans="1:9" x14ac:dyDescent="0.3">
      <c r="A91" s="243"/>
      <c r="B91" s="51"/>
      <c r="C91" s="131"/>
      <c r="D91" s="37"/>
      <c r="E91" s="31" t="s">
        <v>560</v>
      </c>
      <c r="F91" s="34" t="str">
        <f t="shared" ref="F91:F100" si="8">IF(ISNUMBER(E91),ROUND(E91*$D91,2),"")</f>
        <v/>
      </c>
      <c r="G91" s="45"/>
      <c r="H91" s="46"/>
      <c r="I91" s="156">
        <v>0.30912000000000001</v>
      </c>
    </row>
    <row r="92" spans="1:9" x14ac:dyDescent="0.3">
      <c r="A92" s="243"/>
      <c r="B92" s="48" t="s">
        <v>796</v>
      </c>
      <c r="C92" s="131"/>
      <c r="D92" s="37"/>
      <c r="E92" s="31" t="s">
        <v>560</v>
      </c>
      <c r="F92" s="34" t="str">
        <f t="shared" si="8"/>
        <v/>
      </c>
      <c r="G92" s="45"/>
      <c r="H92" s="46"/>
      <c r="I92" s="156">
        <v>0.30912000000000001</v>
      </c>
    </row>
    <row r="93" spans="1:9" ht="15" thickBot="1" x14ac:dyDescent="0.35">
      <c r="A93" s="245"/>
      <c r="B93" s="104"/>
      <c r="C93" s="80"/>
      <c r="D93" s="96"/>
      <c r="E93" s="67" t="s">
        <v>560</v>
      </c>
      <c r="F93" s="67" t="str">
        <f t="shared" si="8"/>
        <v/>
      </c>
      <c r="G93" s="69"/>
      <c r="H93" s="31"/>
      <c r="I93" s="156">
        <v>0.30912000000000001</v>
      </c>
    </row>
    <row r="94" spans="1:9" ht="15" thickBot="1" x14ac:dyDescent="0.35">
      <c r="A94" s="244" t="s">
        <v>1677</v>
      </c>
      <c r="B94" s="41" t="s">
        <v>560</v>
      </c>
      <c r="C94" s="78" t="s">
        <v>122</v>
      </c>
      <c r="D94" s="94"/>
      <c r="E94" s="42" t="s">
        <v>560</v>
      </c>
      <c r="F94" s="42" t="str">
        <f t="shared" si="8"/>
        <v/>
      </c>
      <c r="G94" s="29"/>
      <c r="H94" s="30"/>
      <c r="I94" s="156">
        <v>0.18900000000000003</v>
      </c>
    </row>
    <row r="95" spans="1:9" x14ac:dyDescent="0.3">
      <c r="A95" s="243"/>
      <c r="B95" s="32" t="s">
        <v>560</v>
      </c>
      <c r="C95" s="79"/>
      <c r="D95" s="92"/>
      <c r="E95" s="98" t="s">
        <v>560</v>
      </c>
      <c r="F95" s="99" t="str">
        <f t="shared" si="8"/>
        <v/>
      </c>
      <c r="G95" s="35"/>
      <c r="H95" s="31"/>
      <c r="I95" s="156">
        <v>0.18900000000000003</v>
      </c>
    </row>
    <row r="96" spans="1:9" ht="26.4" x14ac:dyDescent="0.3">
      <c r="A96" s="243"/>
      <c r="B96" s="36" t="s">
        <v>793</v>
      </c>
      <c r="C96" s="50" t="s">
        <v>122</v>
      </c>
      <c r="D96" s="37">
        <v>0.72699999999999998</v>
      </c>
      <c r="E96" s="34">
        <v>76.5</v>
      </c>
      <c r="F96" s="34">
        <f t="shared" si="8"/>
        <v>55.62</v>
      </c>
      <c r="G96" s="45">
        <f>SUM(F96:F104)</f>
        <v>399.09875891460001</v>
      </c>
      <c r="H96" s="46"/>
      <c r="I96" s="156">
        <v>0.18900000000000003</v>
      </c>
    </row>
    <row r="97" spans="1:9" x14ac:dyDescent="0.3">
      <c r="A97" s="243"/>
      <c r="B97" s="36" t="s">
        <v>789</v>
      </c>
      <c r="C97" s="50" t="s">
        <v>939</v>
      </c>
      <c r="D97" s="37">
        <v>364.94</v>
      </c>
      <c r="E97" s="34">
        <v>0.46750000000000003</v>
      </c>
      <c r="F97" s="34">
        <f t="shared" si="8"/>
        <v>170.61</v>
      </c>
      <c r="G97" s="45"/>
      <c r="H97" s="46"/>
      <c r="I97" s="156">
        <v>0.18900000000000003</v>
      </c>
    </row>
    <row r="98" spans="1:9" ht="26.4" x14ac:dyDescent="0.3">
      <c r="A98" s="243"/>
      <c r="B98" s="36" t="s">
        <v>801</v>
      </c>
      <c r="C98" s="50" t="s">
        <v>122</v>
      </c>
      <c r="D98" s="37">
        <v>0.59699999999999998</v>
      </c>
      <c r="E98" s="31">
        <v>111.82599999999999</v>
      </c>
      <c r="F98" s="34">
        <f t="shared" si="8"/>
        <v>66.760000000000005</v>
      </c>
      <c r="G98" s="45"/>
      <c r="H98" s="46"/>
      <c r="I98" s="156">
        <v>0.18900000000000003</v>
      </c>
    </row>
    <row r="99" spans="1:9" x14ac:dyDescent="0.3">
      <c r="A99" s="243"/>
      <c r="B99" s="36" t="s">
        <v>745</v>
      </c>
      <c r="C99" s="50" t="s">
        <v>744</v>
      </c>
      <c r="D99" s="37">
        <v>1.98</v>
      </c>
      <c r="E99" s="31">
        <v>14.968499999999999</v>
      </c>
      <c r="F99" s="34">
        <f t="shared" si="8"/>
        <v>29.64</v>
      </c>
      <c r="G99" s="45"/>
      <c r="H99" s="46"/>
      <c r="I99" s="156">
        <v>0.18900000000000003</v>
      </c>
    </row>
    <row r="100" spans="1:9" ht="26.4" x14ac:dyDescent="0.3">
      <c r="A100" s="243"/>
      <c r="B100" s="36" t="s">
        <v>1513</v>
      </c>
      <c r="C100" s="50" t="s">
        <v>744</v>
      </c>
      <c r="D100" s="37">
        <v>1.25</v>
      </c>
      <c r="E100" s="31">
        <v>15.147</v>
      </c>
      <c r="F100" s="34">
        <f t="shared" si="8"/>
        <v>18.93</v>
      </c>
      <c r="G100" s="45"/>
      <c r="H100" s="46"/>
      <c r="I100" s="156">
        <v>0.18900000000000003</v>
      </c>
    </row>
    <row r="101" spans="1:9" ht="39.6" x14ac:dyDescent="0.3">
      <c r="A101" s="243"/>
      <c r="B101" s="36" t="s">
        <v>1433</v>
      </c>
      <c r="C101" s="36" t="s">
        <v>983</v>
      </c>
      <c r="D101" s="37">
        <v>0.64</v>
      </c>
      <c r="E101" s="31">
        <v>3.5275000000000003</v>
      </c>
      <c r="F101" s="34">
        <f t="shared" ref="F101:F103" si="9">IF(ISNUMBER(E101),E101*$D101,"")</f>
        <v>2.2576000000000001</v>
      </c>
      <c r="G101" s="45"/>
      <c r="H101" s="46"/>
      <c r="I101" s="156">
        <v>0.18900000000000003</v>
      </c>
    </row>
    <row r="102" spans="1:9" ht="39.6" x14ac:dyDescent="0.3">
      <c r="A102" s="243"/>
      <c r="B102" s="36" t="s">
        <v>1514</v>
      </c>
      <c r="C102" s="47" t="s">
        <v>985</v>
      </c>
      <c r="D102" s="37">
        <v>0.61</v>
      </c>
      <c r="E102" s="31">
        <v>1.1220000000000001</v>
      </c>
      <c r="F102" s="34">
        <f t="shared" si="9"/>
        <v>0.68442000000000003</v>
      </c>
      <c r="G102" s="45"/>
      <c r="H102" s="46"/>
      <c r="I102" s="156">
        <v>0.18900000000000003</v>
      </c>
    </row>
    <row r="103" spans="1:9" ht="52.8" x14ac:dyDescent="0.3">
      <c r="A103" s="243"/>
      <c r="B103" s="36" t="s">
        <v>1931</v>
      </c>
      <c r="C103" s="36" t="s">
        <v>122</v>
      </c>
      <c r="D103" s="37">
        <f>D96+D98</f>
        <v>1.3239999999999998</v>
      </c>
      <c r="E103" s="31">
        <v>5.4507091499999989</v>
      </c>
      <c r="F103" s="34">
        <f t="shared" si="9"/>
        <v>7.2167389145999978</v>
      </c>
      <c r="G103" s="45"/>
      <c r="H103" s="46"/>
      <c r="I103" s="156">
        <v>0.18900000000000003</v>
      </c>
    </row>
    <row r="104" spans="1:9" ht="26.4" x14ac:dyDescent="0.3">
      <c r="A104" s="243"/>
      <c r="B104" s="36" t="s">
        <v>1930</v>
      </c>
      <c r="C104" s="50" t="s">
        <v>124</v>
      </c>
      <c r="D104" s="37">
        <f>20*(D96+D98)</f>
        <v>26.479999999999997</v>
      </c>
      <c r="E104" s="34">
        <v>1.7893647499999998</v>
      </c>
      <c r="F104" s="34">
        <f>IF(ISNUMBER(E104),ROUND(E104*$D104,2),"")</f>
        <v>47.38</v>
      </c>
      <c r="G104" s="45"/>
      <c r="H104" s="46"/>
      <c r="I104" s="156">
        <v>0.18900000000000003</v>
      </c>
    </row>
    <row r="105" spans="1:9" x14ac:dyDescent="0.3">
      <c r="A105" s="243"/>
      <c r="B105" s="51"/>
      <c r="C105" s="131"/>
      <c r="D105" s="37"/>
      <c r="E105" s="31" t="s">
        <v>560</v>
      </c>
      <c r="F105" s="34" t="str">
        <f t="shared" ref="F105:F114" si="10">IF(ISNUMBER(E105),ROUND(E105*$D105,2),"")</f>
        <v/>
      </c>
      <c r="G105" s="45"/>
      <c r="H105" s="46"/>
      <c r="I105" s="156">
        <v>0.18900000000000003</v>
      </c>
    </row>
    <row r="106" spans="1:9" x14ac:dyDescent="0.3">
      <c r="A106" s="243"/>
      <c r="B106" s="48" t="s">
        <v>796</v>
      </c>
      <c r="C106" s="131"/>
      <c r="D106" s="37"/>
      <c r="E106" s="31" t="s">
        <v>560</v>
      </c>
      <c r="F106" s="34" t="str">
        <f t="shared" si="10"/>
        <v/>
      </c>
      <c r="G106" s="45"/>
      <c r="H106" s="46"/>
      <c r="I106" s="156">
        <v>0.18900000000000003</v>
      </c>
    </row>
    <row r="107" spans="1:9" ht="15" thickBot="1" x14ac:dyDescent="0.35">
      <c r="A107" s="245"/>
      <c r="B107" s="104"/>
      <c r="C107" s="80"/>
      <c r="D107" s="96"/>
      <c r="E107" s="67" t="s">
        <v>560</v>
      </c>
      <c r="F107" s="67" t="str">
        <f t="shared" si="10"/>
        <v/>
      </c>
      <c r="G107" s="69"/>
      <c r="H107" s="31"/>
      <c r="I107" s="156">
        <v>0.18900000000000003</v>
      </c>
    </row>
    <row r="108" spans="1:9" ht="15" thickBot="1" x14ac:dyDescent="0.35">
      <c r="A108" s="244" t="s">
        <v>1676</v>
      </c>
      <c r="B108" s="41" t="s">
        <v>560</v>
      </c>
      <c r="C108" s="78" t="s">
        <v>122</v>
      </c>
      <c r="D108" s="94"/>
      <c r="E108" s="42" t="s">
        <v>560</v>
      </c>
      <c r="F108" s="42" t="str">
        <f t="shared" si="10"/>
        <v/>
      </c>
      <c r="G108" s="29"/>
      <c r="H108" s="30"/>
      <c r="I108" s="156">
        <v>0.2199084</v>
      </c>
    </row>
    <row r="109" spans="1:9" x14ac:dyDescent="0.3">
      <c r="A109" s="243"/>
      <c r="B109" s="32" t="s">
        <v>560</v>
      </c>
      <c r="C109" s="79"/>
      <c r="D109" s="92"/>
      <c r="E109" s="98" t="s">
        <v>560</v>
      </c>
      <c r="F109" s="99" t="str">
        <f t="shared" si="10"/>
        <v/>
      </c>
      <c r="G109" s="35"/>
      <c r="H109" s="31"/>
      <c r="I109" s="156">
        <v>0.2199084</v>
      </c>
    </row>
    <row r="110" spans="1:9" ht="26.4" x14ac:dyDescent="0.3">
      <c r="A110" s="243"/>
      <c r="B110" s="36" t="s">
        <v>1349</v>
      </c>
      <c r="C110" s="50" t="s">
        <v>122</v>
      </c>
      <c r="D110" s="37">
        <v>0.56000000000000005</v>
      </c>
      <c r="E110" s="34">
        <v>119.34</v>
      </c>
      <c r="F110" s="34">
        <f t="shared" si="10"/>
        <v>66.83</v>
      </c>
      <c r="G110" s="45">
        <f>SUM(F110:F118)</f>
        <v>406.86795424800005</v>
      </c>
      <c r="H110" s="46"/>
      <c r="I110" s="156">
        <v>0.2199084</v>
      </c>
    </row>
    <row r="111" spans="1:9" x14ac:dyDescent="0.3">
      <c r="A111" s="243"/>
      <c r="B111" s="36" t="s">
        <v>1515</v>
      </c>
      <c r="C111" s="50" t="s">
        <v>939</v>
      </c>
      <c r="D111" s="37">
        <v>12.81</v>
      </c>
      <c r="E111" s="34">
        <v>0.79899999999999993</v>
      </c>
      <c r="F111" s="34">
        <f t="shared" si="10"/>
        <v>10.24</v>
      </c>
      <c r="G111" s="45"/>
      <c r="H111" s="46"/>
      <c r="I111" s="156">
        <v>0.2199084</v>
      </c>
    </row>
    <row r="112" spans="1:9" x14ac:dyDescent="0.3">
      <c r="A112" s="243"/>
      <c r="B112" s="36" t="s">
        <v>789</v>
      </c>
      <c r="C112" s="50" t="s">
        <v>939</v>
      </c>
      <c r="D112" s="37">
        <v>355.88</v>
      </c>
      <c r="E112" s="31">
        <v>0.46750000000000003</v>
      </c>
      <c r="F112" s="34">
        <f t="shared" si="10"/>
        <v>166.37</v>
      </c>
      <c r="G112" s="45"/>
      <c r="H112" s="46"/>
      <c r="I112" s="156">
        <v>0.2199084</v>
      </c>
    </row>
    <row r="113" spans="1:9" ht="26.4" x14ac:dyDescent="0.3">
      <c r="A113" s="243"/>
      <c r="B113" s="36" t="s">
        <v>798</v>
      </c>
      <c r="C113" s="50" t="s">
        <v>122</v>
      </c>
      <c r="D113" s="37">
        <v>0.56000000000000005</v>
      </c>
      <c r="E113" s="31">
        <v>129.10649999999998</v>
      </c>
      <c r="F113" s="34">
        <f t="shared" si="10"/>
        <v>72.3</v>
      </c>
      <c r="G113" s="45"/>
      <c r="H113" s="46"/>
      <c r="I113" s="156">
        <v>0.2199084</v>
      </c>
    </row>
    <row r="114" spans="1:9" ht="26.4" x14ac:dyDescent="0.3">
      <c r="A114" s="243"/>
      <c r="B114" s="36" t="s">
        <v>1513</v>
      </c>
      <c r="C114" s="50" t="s">
        <v>744</v>
      </c>
      <c r="D114" s="37">
        <v>2.86</v>
      </c>
      <c r="E114" s="31">
        <v>15.147</v>
      </c>
      <c r="F114" s="34">
        <f t="shared" si="10"/>
        <v>43.32</v>
      </c>
      <c r="G114" s="45"/>
      <c r="H114" s="46"/>
      <c r="I114" s="156">
        <v>0.2199084</v>
      </c>
    </row>
    <row r="115" spans="1:9" ht="39.6" x14ac:dyDescent="0.3">
      <c r="A115" s="243"/>
      <c r="B115" s="36" t="s">
        <v>119</v>
      </c>
      <c r="C115" s="36" t="s">
        <v>983</v>
      </c>
      <c r="D115" s="37">
        <v>0.88</v>
      </c>
      <c r="E115" s="31">
        <v>1.2324999999999999</v>
      </c>
      <c r="F115" s="34">
        <f t="shared" ref="F115:F117" si="11">IF(ISNUMBER(E115),E115*$D115,"")</f>
        <v>1.0846</v>
      </c>
      <c r="G115" s="45"/>
      <c r="H115" s="46"/>
      <c r="I115" s="156">
        <v>0.2199084</v>
      </c>
    </row>
    <row r="116" spans="1:9" ht="39.6" x14ac:dyDescent="0.3">
      <c r="A116" s="243"/>
      <c r="B116" s="36" t="s">
        <v>120</v>
      </c>
      <c r="C116" s="47" t="s">
        <v>985</v>
      </c>
      <c r="D116" s="37">
        <v>1.98</v>
      </c>
      <c r="E116" s="31">
        <v>0.27200000000000002</v>
      </c>
      <c r="F116" s="34">
        <f t="shared" si="11"/>
        <v>0.53856000000000004</v>
      </c>
      <c r="G116" s="45"/>
      <c r="H116" s="46"/>
      <c r="I116" s="156">
        <v>0.2199084</v>
      </c>
    </row>
    <row r="117" spans="1:9" ht="52.8" x14ac:dyDescent="0.3">
      <c r="A117" s="243"/>
      <c r="B117" s="36" t="s">
        <v>1931</v>
      </c>
      <c r="C117" s="36" t="s">
        <v>122</v>
      </c>
      <c r="D117" s="37">
        <f>D110+D113</f>
        <v>1.1200000000000001</v>
      </c>
      <c r="E117" s="31">
        <v>5.4507091499999989</v>
      </c>
      <c r="F117" s="34">
        <f t="shared" si="11"/>
        <v>6.1047942479999993</v>
      </c>
      <c r="G117" s="45"/>
      <c r="H117" s="46"/>
      <c r="I117" s="156">
        <v>0.2199084</v>
      </c>
    </row>
    <row r="118" spans="1:9" ht="26.4" x14ac:dyDescent="0.3">
      <c r="A118" s="243"/>
      <c r="B118" s="36" t="s">
        <v>1930</v>
      </c>
      <c r="C118" s="50" t="s">
        <v>124</v>
      </c>
      <c r="D118" s="37">
        <f>20*(D110+D113)</f>
        <v>22.400000000000002</v>
      </c>
      <c r="E118" s="34">
        <v>1.7893647499999998</v>
      </c>
      <c r="F118" s="34">
        <f>IF(ISNUMBER(E118),ROUND(E118*$D118,2),"")</f>
        <v>40.08</v>
      </c>
      <c r="G118" s="45"/>
      <c r="H118" s="46"/>
      <c r="I118" s="156">
        <v>0.2199084</v>
      </c>
    </row>
    <row r="119" spans="1:9" x14ac:dyDescent="0.3">
      <c r="A119" s="243"/>
      <c r="B119" s="51"/>
      <c r="C119" s="131"/>
      <c r="D119" s="37"/>
      <c r="E119" s="31" t="s">
        <v>560</v>
      </c>
      <c r="F119" s="34" t="str">
        <f t="shared" ref="F119:F126" si="12">IF(ISNUMBER(E119),ROUND(E119*$D119,2),"")</f>
        <v/>
      </c>
      <c r="G119" s="45"/>
      <c r="H119" s="46"/>
      <c r="I119" s="156">
        <v>0.2199084</v>
      </c>
    </row>
    <row r="120" spans="1:9" x14ac:dyDescent="0.3">
      <c r="A120" s="243"/>
      <c r="B120" s="48" t="s">
        <v>796</v>
      </c>
      <c r="C120" s="131"/>
      <c r="D120" s="37"/>
      <c r="E120" s="31" t="s">
        <v>560</v>
      </c>
      <c r="F120" s="34" t="str">
        <f t="shared" si="12"/>
        <v/>
      </c>
      <c r="G120" s="45"/>
      <c r="H120" s="46"/>
      <c r="I120" s="156">
        <v>0.2199084</v>
      </c>
    </row>
    <row r="121" spans="1:9" ht="15" thickBot="1" x14ac:dyDescent="0.35">
      <c r="A121" s="245"/>
      <c r="B121" s="104"/>
      <c r="C121" s="80"/>
      <c r="D121" s="96"/>
      <c r="E121" s="67" t="s">
        <v>560</v>
      </c>
      <c r="F121" s="67" t="str">
        <f t="shared" si="12"/>
        <v/>
      </c>
      <c r="G121" s="69"/>
      <c r="H121" s="31"/>
      <c r="I121" s="156">
        <v>0.2199084</v>
      </c>
    </row>
    <row r="122" spans="1:9" ht="15" thickBot="1" x14ac:dyDescent="0.35">
      <c r="A122" s="244" t="s">
        <v>1671</v>
      </c>
      <c r="B122" s="41" t="s">
        <v>560</v>
      </c>
      <c r="C122" s="78" t="s">
        <v>939</v>
      </c>
      <c r="D122" s="94"/>
      <c r="E122" s="28" t="s">
        <v>560</v>
      </c>
      <c r="F122" s="26" t="str">
        <f t="shared" si="12"/>
        <v/>
      </c>
      <c r="G122" s="29"/>
      <c r="H122" s="30"/>
      <c r="I122" s="156">
        <v>688.69349999999997</v>
      </c>
    </row>
    <row r="123" spans="1:9" x14ac:dyDescent="0.3">
      <c r="A123" s="243"/>
      <c r="B123" s="32" t="s">
        <v>560</v>
      </c>
      <c r="C123" s="79"/>
      <c r="D123" s="92"/>
      <c r="E123" s="31" t="s">
        <v>560</v>
      </c>
      <c r="F123" s="31" t="str">
        <f t="shared" si="12"/>
        <v/>
      </c>
      <c r="G123" s="35"/>
      <c r="H123" s="31"/>
      <c r="I123" s="156">
        <v>688.69349999999997</v>
      </c>
    </row>
    <row r="124" spans="1:9" x14ac:dyDescent="0.3">
      <c r="A124" s="243"/>
      <c r="B124" s="36" t="s">
        <v>814</v>
      </c>
      <c r="C124" s="50" t="s">
        <v>939</v>
      </c>
      <c r="D124" s="37">
        <v>1.1100000000000001</v>
      </c>
      <c r="E124" s="31">
        <v>8.9589999999999996</v>
      </c>
      <c r="F124" s="34">
        <f t="shared" si="12"/>
        <v>9.94</v>
      </c>
      <c r="G124" s="45">
        <f>SUM(F124:F125)</f>
        <v>10.01</v>
      </c>
      <c r="H124" s="46"/>
      <c r="I124" s="156">
        <v>688.69349999999997</v>
      </c>
    </row>
    <row r="125" spans="1:9" x14ac:dyDescent="0.3">
      <c r="A125" s="243"/>
      <c r="B125" s="36" t="s">
        <v>942</v>
      </c>
      <c r="C125" s="50" t="s">
        <v>744</v>
      </c>
      <c r="D125" s="37">
        <v>3.7000000000000002E-3</v>
      </c>
      <c r="E125" s="31">
        <v>20.213000000000001</v>
      </c>
      <c r="F125" s="34">
        <f t="shared" si="12"/>
        <v>7.0000000000000007E-2</v>
      </c>
      <c r="G125" s="45"/>
      <c r="H125" s="46"/>
      <c r="I125" s="156">
        <v>688.69349999999997</v>
      </c>
    </row>
    <row r="126" spans="1:9" ht="15" thickBot="1" x14ac:dyDescent="0.35">
      <c r="A126" s="245"/>
      <c r="B126" s="55" t="s">
        <v>560</v>
      </c>
      <c r="C126" s="80"/>
      <c r="D126" s="96"/>
      <c r="E126" s="67" t="s">
        <v>560</v>
      </c>
      <c r="F126" s="68" t="str">
        <f t="shared" si="12"/>
        <v/>
      </c>
      <c r="G126" s="69"/>
      <c r="H126" s="31"/>
      <c r="I126" s="156">
        <v>688.69349999999997</v>
      </c>
    </row>
  </sheetData>
  <autoFilter ref="A5:I126" xr:uid="{00000000-0009-0000-0000-000002000000}">
    <filterColumn colId="8">
      <customFilters>
        <customFilter operator="notEqual" val="0"/>
      </customFilters>
    </filterColumn>
  </autoFilter>
  <mergeCells count="12">
    <mergeCell ref="A94:A107"/>
    <mergeCell ref="A108:A121"/>
    <mergeCell ref="A122:A126"/>
    <mergeCell ref="A72:A79"/>
    <mergeCell ref="A80:A93"/>
    <mergeCell ref="A46:A58"/>
    <mergeCell ref="A59:A71"/>
    <mergeCell ref="A6:A10"/>
    <mergeCell ref="A11:A16"/>
    <mergeCell ref="A17:A23"/>
    <mergeCell ref="A24:A35"/>
    <mergeCell ref="A36:A45"/>
  </mergeCells>
  <conditionalFormatting sqref="F4">
    <cfRule type="containsText" dxfId="5" priority="159" operator="containsText" text="Pesquisa">
      <formula>NOT(ISERROR(SEARCH("Pesquisa",F4)))</formula>
    </cfRule>
  </conditionalFormatting>
  <printOptions horizontalCentered="1"/>
  <pageMargins left="0.19685039370078741" right="0.19685039370078741" top="0.98425196850393704" bottom="0.59055118110236227" header="0.19685039370078741" footer="0.19685039370078741"/>
  <pageSetup paperSize="9" scale="71" fitToHeight="0"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rowBreaks count="2" manualBreakCount="2">
    <brk id="79" max="11" man="1"/>
    <brk id="107" max="11"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7">
    <pageSetUpPr fitToPage="1"/>
  </sheetPr>
  <dimension ref="A1:J146"/>
  <sheetViews>
    <sheetView tabSelected="1" zoomScale="80" zoomScaleNormal="80" zoomScaleSheetLayoutView="80" workbookViewId="0">
      <pane ySplit="5" topLeftCell="A6" activePane="bottomLeft" state="frozen"/>
      <selection pane="bottomLeft" activeCell="A6" sqref="A6"/>
    </sheetView>
  </sheetViews>
  <sheetFormatPr defaultRowHeight="14.4" x14ac:dyDescent="0.3"/>
  <cols>
    <col min="1" max="1" width="14.6640625" customWidth="1"/>
    <col min="2" max="2" width="80.6640625" style="5" customWidth="1"/>
    <col min="3" max="4" width="15.6640625" customWidth="1"/>
    <col min="5" max="6" width="20.6640625" customWidth="1"/>
    <col min="7" max="7" width="15.6640625" customWidth="1"/>
    <col min="8" max="9" width="20.6640625" customWidth="1"/>
    <col min="10" max="10" width="3.6640625" customWidth="1"/>
    <col min="11" max="11" width="9.109375" customWidth="1"/>
  </cols>
  <sheetData>
    <row r="1" spans="1:10" ht="24.9" customHeight="1" x14ac:dyDescent="0.3">
      <c r="A1" s="106" t="s">
        <v>2384</v>
      </c>
      <c r="B1" s="124"/>
      <c r="C1" s="106"/>
      <c r="D1" s="106"/>
      <c r="E1" s="106"/>
      <c r="F1" s="106"/>
      <c r="G1" s="106"/>
      <c r="H1" s="106"/>
      <c r="I1" s="106"/>
      <c r="J1" s="157" t="s">
        <v>1945</v>
      </c>
    </row>
    <row r="2" spans="1:10" ht="24.9" customHeight="1" x14ac:dyDescent="0.3">
      <c r="A2" s="107" t="s">
        <v>1527</v>
      </c>
      <c r="B2" s="125"/>
      <c r="C2" s="107"/>
      <c r="D2" s="107"/>
      <c r="E2" s="107"/>
      <c r="F2" s="107"/>
      <c r="G2" s="107"/>
      <c r="H2" s="107"/>
      <c r="I2" s="107"/>
      <c r="J2" s="157" t="s">
        <v>1946</v>
      </c>
    </row>
    <row r="3" spans="1:10" ht="20.100000000000001" customHeight="1" x14ac:dyDescent="0.3">
      <c r="A3" s="108" t="s">
        <v>2422</v>
      </c>
      <c r="B3" s="108"/>
      <c r="C3" s="108"/>
      <c r="D3" s="108"/>
      <c r="E3" s="108"/>
      <c r="F3" s="108"/>
      <c r="G3" s="108"/>
      <c r="H3" s="108"/>
      <c r="I3" s="108"/>
      <c r="J3" s="157" t="s">
        <v>1528</v>
      </c>
    </row>
    <row r="4" spans="1:10" ht="18" customHeight="1" thickBot="1" x14ac:dyDescent="0.35">
      <c r="A4" s="109"/>
      <c r="B4" s="110"/>
      <c r="C4" s="111"/>
      <c r="D4" s="111"/>
      <c r="E4" s="112"/>
      <c r="F4" s="112"/>
      <c r="G4" s="110"/>
      <c r="H4" s="110"/>
      <c r="I4" s="110"/>
      <c r="J4" s="113"/>
    </row>
    <row r="5" spans="1:10" ht="45" customHeight="1" x14ac:dyDescent="0.3">
      <c r="A5" s="177" t="s">
        <v>1</v>
      </c>
      <c r="B5" s="178" t="s">
        <v>2</v>
      </c>
      <c r="C5" s="178" t="s">
        <v>4</v>
      </c>
      <c r="D5" s="179" t="s">
        <v>1529</v>
      </c>
      <c r="E5" s="180" t="s">
        <v>6</v>
      </c>
      <c r="F5" s="180" t="s">
        <v>1653</v>
      </c>
      <c r="G5" s="180" t="s">
        <v>1531</v>
      </c>
      <c r="H5" s="180" t="s">
        <v>1532</v>
      </c>
      <c r="I5" s="180" t="s">
        <v>2041</v>
      </c>
      <c r="J5" s="114"/>
    </row>
    <row r="6" spans="1:10" x14ac:dyDescent="0.3">
      <c r="A6" s="215"/>
      <c r="B6" s="216" t="s">
        <v>2386</v>
      </c>
      <c r="C6" s="217"/>
      <c r="D6" s="217"/>
      <c r="E6" s="217"/>
      <c r="F6" s="217"/>
      <c r="G6" s="217"/>
      <c r="H6" s="217"/>
      <c r="I6" s="217"/>
      <c r="J6" s="114"/>
    </row>
    <row r="7" spans="1:10" x14ac:dyDescent="0.3">
      <c r="A7" s="181" t="s">
        <v>15</v>
      </c>
      <c r="B7" s="218" t="s">
        <v>1536</v>
      </c>
      <c r="C7" s="182" t="s">
        <v>20</v>
      </c>
      <c r="D7" s="182">
        <v>1</v>
      </c>
      <c r="E7" s="136">
        <f ca="1">OFFSET(INDEX(Composições!A:J,MATCH(A7,Composições!A:A,0),8),2,0)</f>
        <v>1436.296</v>
      </c>
      <c r="F7" s="137">
        <f ca="1">IF(ISNUMBER(E7),D7*E7,"")</f>
        <v>1436.296</v>
      </c>
      <c r="G7" s="219">
        <f>BDI!$B$17</f>
        <v>0.191</v>
      </c>
      <c r="H7" s="138">
        <f ca="1">IF(ISNUMBER(E7),ROUND(E7*(1+G7),2),"")</f>
        <v>1710.63</v>
      </c>
      <c r="I7" s="137">
        <f ca="1">IF(ISNUMBER(E7),ROUND(H7*D7,2),"")</f>
        <v>1710.63</v>
      </c>
      <c r="J7" s="115"/>
    </row>
    <row r="8" spans="1:10" x14ac:dyDescent="0.3">
      <c r="A8" s="181" t="s">
        <v>17</v>
      </c>
      <c r="B8" s="218" t="s">
        <v>1537</v>
      </c>
      <c r="C8" s="182" t="s">
        <v>20</v>
      </c>
      <c r="D8" s="182">
        <v>1</v>
      </c>
      <c r="E8" s="136">
        <f ca="1">OFFSET(INDEX(Composições!A:J,MATCH(A8,Composições!A:A,0),8),2,0)</f>
        <v>2035.0900000000001</v>
      </c>
      <c r="F8" s="137">
        <f t="shared" ref="F8:F11" ca="1" si="0">IF(ISNUMBER(E8),D8*E8,"")</f>
        <v>2035.0900000000001</v>
      </c>
      <c r="G8" s="219">
        <f>BDI!$B$17</f>
        <v>0.191</v>
      </c>
      <c r="H8" s="138">
        <f t="shared" ref="H8:H11" ca="1" si="1">IF(ISNUMBER(E8),ROUND(E8*(1+G8),2),"")</f>
        <v>2423.79</v>
      </c>
      <c r="I8" s="137">
        <f t="shared" ref="I8:I11" ca="1" si="2">IF(ISNUMBER(E8),ROUND(H8*D8,2),"")</f>
        <v>2423.79</v>
      </c>
      <c r="J8" s="115"/>
    </row>
    <row r="9" spans="1:10" x14ac:dyDescent="0.3">
      <c r="A9" s="181" t="s">
        <v>2181</v>
      </c>
      <c r="B9" s="218" t="s">
        <v>2144</v>
      </c>
      <c r="C9" s="182" t="s">
        <v>20</v>
      </c>
      <c r="D9" s="182">
        <v>1</v>
      </c>
      <c r="E9" s="196">
        <v>114723.04</v>
      </c>
      <c r="F9" s="137">
        <f t="shared" si="0"/>
        <v>114723.04</v>
      </c>
      <c r="G9" s="219">
        <v>0</v>
      </c>
      <c r="H9" s="138">
        <f t="shared" si="1"/>
        <v>114723.04</v>
      </c>
      <c r="I9" s="137">
        <f t="shared" si="2"/>
        <v>114723.04</v>
      </c>
      <c r="J9" s="115"/>
    </row>
    <row r="10" spans="1:10" x14ac:dyDescent="0.3">
      <c r="A10" s="181" t="s">
        <v>2182</v>
      </c>
      <c r="B10" s="218" t="s">
        <v>2145</v>
      </c>
      <c r="C10" s="182" t="s">
        <v>20</v>
      </c>
      <c r="D10" s="182">
        <v>1</v>
      </c>
      <c r="E10" s="196">
        <v>10066.049999999999</v>
      </c>
      <c r="F10" s="137">
        <f t="shared" si="0"/>
        <v>10066.049999999999</v>
      </c>
      <c r="G10" s="219">
        <v>0</v>
      </c>
      <c r="H10" s="138">
        <f t="shared" si="1"/>
        <v>10066.049999999999</v>
      </c>
      <c r="I10" s="137">
        <f t="shared" si="2"/>
        <v>10066.049999999999</v>
      </c>
      <c r="J10" s="116"/>
    </row>
    <row r="11" spans="1:10" ht="26.4" x14ac:dyDescent="0.3">
      <c r="A11" s="181" t="s">
        <v>2349</v>
      </c>
      <c r="B11" s="218" t="s">
        <v>2169</v>
      </c>
      <c r="C11" s="182" t="s">
        <v>20</v>
      </c>
      <c r="D11" s="182">
        <v>1</v>
      </c>
      <c r="E11" s="196">
        <v>76750</v>
      </c>
      <c r="F11" s="137">
        <f t="shared" si="0"/>
        <v>76750</v>
      </c>
      <c r="G11" s="219">
        <v>0</v>
      </c>
      <c r="H11" s="138">
        <f t="shared" si="1"/>
        <v>76750</v>
      </c>
      <c r="I11" s="137">
        <f t="shared" si="2"/>
        <v>76750</v>
      </c>
      <c r="J11" s="116"/>
    </row>
    <row r="12" spans="1:10" x14ac:dyDescent="0.3">
      <c r="A12" s="215"/>
      <c r="B12" s="216" t="s">
        <v>2387</v>
      </c>
      <c r="C12" s="217"/>
      <c r="D12" s="217"/>
      <c r="E12" s="217"/>
      <c r="F12" s="217"/>
      <c r="G12" s="173"/>
      <c r="H12" s="217"/>
      <c r="I12" s="217"/>
      <c r="J12" s="114"/>
    </row>
    <row r="13" spans="1:10" x14ac:dyDescent="0.3">
      <c r="A13" s="181" t="s">
        <v>2081</v>
      </c>
      <c r="B13" s="218" t="s">
        <v>2113</v>
      </c>
      <c r="C13" s="182" t="s">
        <v>20</v>
      </c>
      <c r="D13" s="182">
        <v>8</v>
      </c>
      <c r="E13" s="196">
        <v>598563.25</v>
      </c>
      <c r="F13" s="137">
        <f t="shared" ref="F13" si="3">IF(ISNUMBER(E13),D13*E13,"")</f>
        <v>4788506</v>
      </c>
      <c r="G13" s="219">
        <v>0</v>
      </c>
      <c r="H13" s="138">
        <f t="shared" ref="H13" si="4">IF(ISNUMBER(E13),ROUND(E13*(1+G13),2),"")</f>
        <v>598563.25</v>
      </c>
      <c r="I13" s="137">
        <f t="shared" ref="I13" si="5">IF(ISNUMBER(E13),ROUND(H13*D13,2),"")</f>
        <v>4788506</v>
      </c>
      <c r="J13" s="116"/>
    </row>
    <row r="14" spans="1:10" x14ac:dyDescent="0.3">
      <c r="A14" s="181" t="s">
        <v>2102</v>
      </c>
      <c r="B14" s="218" t="s">
        <v>2134</v>
      </c>
      <c r="C14" s="182" t="s">
        <v>20</v>
      </c>
      <c r="D14" s="182">
        <v>2</v>
      </c>
      <c r="E14" s="196">
        <v>194913.37</v>
      </c>
      <c r="F14" s="137">
        <f t="shared" ref="F14:F24" si="6">IF(ISNUMBER(E14),D14*E14,"")</f>
        <v>389826.74</v>
      </c>
      <c r="G14" s="219">
        <v>0</v>
      </c>
      <c r="H14" s="138">
        <f t="shared" ref="H14:H24" si="7">IF(ISNUMBER(E14),ROUND(E14*(1+G14),2),"")</f>
        <v>194913.37</v>
      </c>
      <c r="I14" s="137">
        <f t="shared" ref="I14:I24" si="8">IF(ISNUMBER(E14),ROUND(H14*D14,2),"")</f>
        <v>389826.74</v>
      </c>
      <c r="J14" s="116"/>
    </row>
    <row r="15" spans="1:10" x14ac:dyDescent="0.3">
      <c r="A15" s="181" t="s">
        <v>2088</v>
      </c>
      <c r="B15" s="218" t="s">
        <v>2120</v>
      </c>
      <c r="C15" s="182" t="s">
        <v>20</v>
      </c>
      <c r="D15" s="182">
        <v>1</v>
      </c>
      <c r="E15" s="196">
        <v>17913.62</v>
      </c>
      <c r="F15" s="137">
        <f t="shared" si="6"/>
        <v>17913.62</v>
      </c>
      <c r="G15" s="219">
        <v>0</v>
      </c>
      <c r="H15" s="138">
        <f t="shared" si="7"/>
        <v>17913.62</v>
      </c>
      <c r="I15" s="137">
        <f t="shared" si="8"/>
        <v>17913.62</v>
      </c>
      <c r="J15" s="116"/>
    </row>
    <row r="16" spans="1:10" x14ac:dyDescent="0.3">
      <c r="A16" s="181" t="s">
        <v>2089</v>
      </c>
      <c r="B16" s="218" t="s">
        <v>2121</v>
      </c>
      <c r="C16" s="182" t="s">
        <v>20</v>
      </c>
      <c r="D16" s="182">
        <v>1</v>
      </c>
      <c r="E16" s="196">
        <v>102492.5</v>
      </c>
      <c r="F16" s="137">
        <f t="shared" si="6"/>
        <v>102492.5</v>
      </c>
      <c r="G16" s="219">
        <v>0</v>
      </c>
      <c r="H16" s="138">
        <f t="shared" si="7"/>
        <v>102492.5</v>
      </c>
      <c r="I16" s="137">
        <f t="shared" si="8"/>
        <v>102492.5</v>
      </c>
      <c r="J16" s="116"/>
    </row>
    <row r="17" spans="1:10" x14ac:dyDescent="0.3">
      <c r="A17" s="181" t="s">
        <v>2090</v>
      </c>
      <c r="B17" s="218" t="s">
        <v>2122</v>
      </c>
      <c r="C17" s="182" t="s">
        <v>20</v>
      </c>
      <c r="D17" s="182">
        <v>1</v>
      </c>
      <c r="E17" s="196">
        <v>463553.18</v>
      </c>
      <c r="F17" s="137">
        <f t="shared" si="6"/>
        <v>463553.18</v>
      </c>
      <c r="G17" s="219">
        <v>0</v>
      </c>
      <c r="H17" s="138">
        <f t="shared" si="7"/>
        <v>463553.18</v>
      </c>
      <c r="I17" s="137">
        <f t="shared" si="8"/>
        <v>463553.18</v>
      </c>
      <c r="J17" s="116"/>
    </row>
    <row r="18" spans="1:10" x14ac:dyDescent="0.3">
      <c r="A18" s="181" t="s">
        <v>2091</v>
      </c>
      <c r="B18" s="218" t="s">
        <v>2123</v>
      </c>
      <c r="C18" s="182" t="s">
        <v>20</v>
      </c>
      <c r="D18" s="182">
        <v>1</v>
      </c>
      <c r="E18" s="196">
        <v>693109.22</v>
      </c>
      <c r="F18" s="137">
        <f t="shared" si="6"/>
        <v>693109.22</v>
      </c>
      <c r="G18" s="219">
        <v>0</v>
      </c>
      <c r="H18" s="138">
        <f t="shared" si="7"/>
        <v>693109.22</v>
      </c>
      <c r="I18" s="137">
        <f t="shared" si="8"/>
        <v>693109.22</v>
      </c>
      <c r="J18" s="116"/>
    </row>
    <row r="19" spans="1:10" x14ac:dyDescent="0.3">
      <c r="A19" s="181" t="s">
        <v>2092</v>
      </c>
      <c r="B19" s="218" t="s">
        <v>2124</v>
      </c>
      <c r="C19" s="182" t="s">
        <v>20</v>
      </c>
      <c r="D19" s="182">
        <v>1</v>
      </c>
      <c r="E19" s="196">
        <v>22794.77</v>
      </c>
      <c r="F19" s="137">
        <f t="shared" si="6"/>
        <v>22794.77</v>
      </c>
      <c r="G19" s="219">
        <v>0</v>
      </c>
      <c r="H19" s="138">
        <f t="shared" si="7"/>
        <v>22794.77</v>
      </c>
      <c r="I19" s="137">
        <f t="shared" si="8"/>
        <v>22794.77</v>
      </c>
      <c r="J19" s="116"/>
    </row>
    <row r="20" spans="1:10" x14ac:dyDescent="0.3">
      <c r="A20" s="181" t="s">
        <v>2095</v>
      </c>
      <c r="B20" s="218" t="s">
        <v>2127</v>
      </c>
      <c r="C20" s="182" t="s">
        <v>20</v>
      </c>
      <c r="D20" s="182">
        <v>3</v>
      </c>
      <c r="E20" s="196">
        <v>350091.91</v>
      </c>
      <c r="F20" s="137">
        <f t="shared" si="6"/>
        <v>1050275.73</v>
      </c>
      <c r="G20" s="219">
        <v>0</v>
      </c>
      <c r="H20" s="138">
        <f t="shared" si="7"/>
        <v>350091.91</v>
      </c>
      <c r="I20" s="137">
        <f t="shared" si="8"/>
        <v>1050275.73</v>
      </c>
      <c r="J20" s="116"/>
    </row>
    <row r="21" spans="1:10" x14ac:dyDescent="0.3">
      <c r="A21" s="181" t="s">
        <v>2096</v>
      </c>
      <c r="B21" s="218" t="s">
        <v>2128</v>
      </c>
      <c r="C21" s="182" t="s">
        <v>20</v>
      </c>
      <c r="D21" s="182">
        <v>1</v>
      </c>
      <c r="E21" s="196">
        <v>53001.5</v>
      </c>
      <c r="F21" s="137">
        <f t="shared" si="6"/>
        <v>53001.5</v>
      </c>
      <c r="G21" s="219">
        <v>0</v>
      </c>
      <c r="H21" s="138">
        <f t="shared" si="7"/>
        <v>53001.5</v>
      </c>
      <c r="I21" s="137">
        <f t="shared" si="8"/>
        <v>53001.5</v>
      </c>
      <c r="J21" s="116"/>
    </row>
    <row r="22" spans="1:10" x14ac:dyDescent="0.3">
      <c r="A22" s="181" t="s">
        <v>2098</v>
      </c>
      <c r="B22" s="218" t="s">
        <v>2130</v>
      </c>
      <c r="C22" s="182" t="s">
        <v>20</v>
      </c>
      <c r="D22" s="182">
        <v>2</v>
      </c>
      <c r="E22" s="196">
        <v>105750</v>
      </c>
      <c r="F22" s="137">
        <f t="shared" si="6"/>
        <v>211500</v>
      </c>
      <c r="G22" s="219">
        <v>0</v>
      </c>
      <c r="H22" s="138">
        <f t="shared" si="7"/>
        <v>105750</v>
      </c>
      <c r="I22" s="137">
        <f t="shared" si="8"/>
        <v>211500</v>
      </c>
      <c r="J22" s="116"/>
    </row>
    <row r="23" spans="1:10" x14ac:dyDescent="0.3">
      <c r="A23" s="181" t="s">
        <v>2173</v>
      </c>
      <c r="B23" s="218" t="s">
        <v>2136</v>
      </c>
      <c r="C23" s="182" t="s">
        <v>20</v>
      </c>
      <c r="D23" s="182">
        <v>1</v>
      </c>
      <c r="E23" s="196">
        <v>2946382.32</v>
      </c>
      <c r="F23" s="137">
        <f t="shared" si="6"/>
        <v>2946382.32</v>
      </c>
      <c r="G23" s="219">
        <v>0</v>
      </c>
      <c r="H23" s="138">
        <f t="shared" si="7"/>
        <v>2946382.32</v>
      </c>
      <c r="I23" s="137">
        <f t="shared" si="8"/>
        <v>2946382.32</v>
      </c>
      <c r="J23" s="116"/>
    </row>
    <row r="24" spans="1:10" x14ac:dyDescent="0.3">
      <c r="A24" s="181" t="s">
        <v>2180</v>
      </c>
      <c r="B24" s="218" t="s">
        <v>2143</v>
      </c>
      <c r="C24" s="182" t="s">
        <v>20</v>
      </c>
      <c r="D24" s="182">
        <v>1</v>
      </c>
      <c r="E24" s="196">
        <v>18488.75</v>
      </c>
      <c r="F24" s="137">
        <f t="shared" si="6"/>
        <v>18488.75</v>
      </c>
      <c r="G24" s="219">
        <v>0</v>
      </c>
      <c r="H24" s="138">
        <f t="shared" si="7"/>
        <v>18488.75</v>
      </c>
      <c r="I24" s="137">
        <f t="shared" si="8"/>
        <v>18488.75</v>
      </c>
      <c r="J24" s="116"/>
    </row>
    <row r="25" spans="1:10" x14ac:dyDescent="0.3">
      <c r="A25" s="215"/>
      <c r="B25" s="216" t="s">
        <v>2388</v>
      </c>
      <c r="C25" s="217"/>
      <c r="D25" s="217"/>
      <c r="E25" s="217"/>
      <c r="F25" s="217"/>
      <c r="G25" s="173"/>
      <c r="H25" s="217"/>
      <c r="I25" s="217"/>
      <c r="J25" s="114"/>
    </row>
    <row r="26" spans="1:10" x14ac:dyDescent="0.3">
      <c r="A26" s="181" t="s">
        <v>10</v>
      </c>
      <c r="B26" s="218" t="s">
        <v>1533</v>
      </c>
      <c r="C26" s="182" t="s">
        <v>1534</v>
      </c>
      <c r="D26" s="182">
        <v>1408</v>
      </c>
      <c r="E26" s="136">
        <f ca="1">OFFSET(INDEX(Composições!A:J,MATCH(A26,Composições!A:A,0),8),2,0)</f>
        <v>78.990499999999997</v>
      </c>
      <c r="F26" s="137">
        <f t="shared" ref="F26" ca="1" si="9">IF(ISNUMBER(E26),D26*E26,"")</f>
        <v>111218.624</v>
      </c>
      <c r="G26" s="219">
        <f>BDI!$B$17</f>
        <v>0.191</v>
      </c>
      <c r="H26" s="138">
        <f t="shared" ref="H26" ca="1" si="10">IF(ISNUMBER(E26),ROUND(E26*(1+G26),2),"")</f>
        <v>94.08</v>
      </c>
      <c r="I26" s="137">
        <f t="shared" ref="I26" ca="1" si="11">IF(ISNUMBER(E26),ROUND(H26*D26,2),"")</f>
        <v>132464.64000000001</v>
      </c>
      <c r="J26" s="116"/>
    </row>
    <row r="27" spans="1:10" x14ac:dyDescent="0.3">
      <c r="A27" s="181" t="s">
        <v>13</v>
      </c>
      <c r="B27" s="218" t="s">
        <v>1535</v>
      </c>
      <c r="C27" s="182" t="s">
        <v>1534</v>
      </c>
      <c r="D27" s="182">
        <v>1408</v>
      </c>
      <c r="E27" s="136">
        <f ca="1">OFFSET(INDEX(Composições!A:J,MATCH(A27,Composições!A:A,0),8),2,0)</f>
        <v>24.3185</v>
      </c>
      <c r="F27" s="137">
        <f t="shared" ref="F27:F90" ca="1" si="12">IF(ISNUMBER(E27),D27*E27,"")</f>
        <v>34240.448000000004</v>
      </c>
      <c r="G27" s="219">
        <f>BDI!$B$17</f>
        <v>0.191</v>
      </c>
      <c r="H27" s="138">
        <f t="shared" ref="H27:H90" ca="1" si="13">IF(ISNUMBER(E27),ROUND(E27*(1+G27),2),"")</f>
        <v>28.96</v>
      </c>
      <c r="I27" s="137">
        <f t="shared" ref="I27:I90" ca="1" si="14">IF(ISNUMBER(E27),ROUND(H27*D27,2),"")</f>
        <v>40775.68</v>
      </c>
      <c r="J27" s="116"/>
    </row>
    <row r="28" spans="1:10" x14ac:dyDescent="0.3">
      <c r="A28" s="181" t="s">
        <v>21</v>
      </c>
      <c r="B28" s="218" t="s">
        <v>1538</v>
      </c>
      <c r="C28" s="182" t="s">
        <v>110</v>
      </c>
      <c r="D28" s="182">
        <v>62.81</v>
      </c>
      <c r="E28" s="136">
        <f ca="1">OFFSET(INDEX(Composições!A:J,MATCH(A28,Composições!A:A,0),8),2,0)</f>
        <v>39.369643799999999</v>
      </c>
      <c r="F28" s="137">
        <f t="shared" ca="1" si="12"/>
        <v>2472.8073270780001</v>
      </c>
      <c r="G28" s="219">
        <f>BDI!$B$17</f>
        <v>0.191</v>
      </c>
      <c r="H28" s="138">
        <f t="shared" ca="1" si="13"/>
        <v>46.89</v>
      </c>
      <c r="I28" s="137">
        <f t="shared" ca="1" si="14"/>
        <v>2945.16</v>
      </c>
      <c r="J28" s="116"/>
    </row>
    <row r="29" spans="1:10" x14ac:dyDescent="0.3">
      <c r="A29" s="181" t="s">
        <v>24</v>
      </c>
      <c r="B29" s="218" t="s">
        <v>1539</v>
      </c>
      <c r="C29" s="182" t="s">
        <v>110</v>
      </c>
      <c r="D29" s="182">
        <v>35.39</v>
      </c>
      <c r="E29" s="136">
        <f ca="1">OFFSET(INDEX(Composições!A:J,MATCH(A29,Composições!A:A,0),8),2,0)</f>
        <v>221</v>
      </c>
      <c r="F29" s="137">
        <f t="shared" ca="1" si="12"/>
        <v>7821.1900000000005</v>
      </c>
      <c r="G29" s="219">
        <f>BDI!$B$17</f>
        <v>0.191</v>
      </c>
      <c r="H29" s="138">
        <f t="shared" ca="1" si="13"/>
        <v>263.20999999999998</v>
      </c>
      <c r="I29" s="137">
        <f t="shared" ca="1" si="14"/>
        <v>9315</v>
      </c>
      <c r="J29" s="116"/>
    </row>
    <row r="30" spans="1:10" x14ac:dyDescent="0.3">
      <c r="A30" s="181" t="s">
        <v>40</v>
      </c>
      <c r="B30" s="218" t="s">
        <v>1540</v>
      </c>
      <c r="C30" s="182" t="s">
        <v>110</v>
      </c>
      <c r="D30" s="182">
        <v>40.299999999999997</v>
      </c>
      <c r="E30" s="136">
        <f ca="1">OFFSET(INDEX(Composições!A:J,MATCH(A30,Composições!A:A,0),8),2,0)</f>
        <v>206.28667085000001</v>
      </c>
      <c r="F30" s="137">
        <f t="shared" ca="1" si="12"/>
        <v>8313.3528352550002</v>
      </c>
      <c r="G30" s="219">
        <f>BDI!$B$17</f>
        <v>0.191</v>
      </c>
      <c r="H30" s="138">
        <f t="shared" ca="1" si="13"/>
        <v>245.69</v>
      </c>
      <c r="I30" s="137">
        <f t="shared" ca="1" si="14"/>
        <v>9901.31</v>
      </c>
      <c r="J30" s="116"/>
    </row>
    <row r="31" spans="1:10" x14ac:dyDescent="0.3">
      <c r="A31" s="181" t="s">
        <v>1541</v>
      </c>
      <c r="B31" s="218" t="s">
        <v>1542</v>
      </c>
      <c r="C31" s="182" t="s">
        <v>20</v>
      </c>
      <c r="D31" s="182">
        <v>28</v>
      </c>
      <c r="E31" s="196">
        <v>320</v>
      </c>
      <c r="F31" s="137">
        <f t="shared" si="12"/>
        <v>8960</v>
      </c>
      <c r="G31" s="219">
        <f>BDI!E17</f>
        <v>0.11260000000000001</v>
      </c>
      <c r="H31" s="138">
        <f t="shared" si="13"/>
        <v>356.03</v>
      </c>
      <c r="I31" s="137">
        <f t="shared" si="14"/>
        <v>9968.84</v>
      </c>
      <c r="J31" s="116"/>
    </row>
    <row r="32" spans="1:10" x14ac:dyDescent="0.3">
      <c r="A32" s="181" t="s">
        <v>83</v>
      </c>
      <c r="B32" s="218" t="s">
        <v>1543</v>
      </c>
      <c r="C32" s="182" t="s">
        <v>110</v>
      </c>
      <c r="D32" s="182">
        <v>139</v>
      </c>
      <c r="E32" s="136">
        <f ca="1">OFFSET(INDEX(Composições!A:J,MATCH(A32,Composições!A:A,0),8),2,0)</f>
        <v>14.968499999999999</v>
      </c>
      <c r="F32" s="137">
        <f t="shared" ca="1" si="12"/>
        <v>2080.6214999999997</v>
      </c>
      <c r="G32" s="219">
        <f>BDI!$B$17</f>
        <v>0.191</v>
      </c>
      <c r="H32" s="138">
        <f t="shared" ca="1" si="13"/>
        <v>17.829999999999998</v>
      </c>
      <c r="I32" s="137">
        <f t="shared" ca="1" si="14"/>
        <v>2478.37</v>
      </c>
      <c r="J32" s="116"/>
    </row>
    <row r="33" spans="1:10" x14ac:dyDescent="0.3">
      <c r="A33" s="181" t="s">
        <v>96</v>
      </c>
      <c r="B33" s="218" t="s">
        <v>1544</v>
      </c>
      <c r="C33" s="182" t="s">
        <v>95</v>
      </c>
      <c r="D33" s="182">
        <v>460</v>
      </c>
      <c r="E33" s="136">
        <f ca="1">OFFSET(INDEX(Composições!A:J,MATCH(A33,Composições!A:A,0),8),2,0)</f>
        <v>76.551348499999989</v>
      </c>
      <c r="F33" s="137">
        <f t="shared" ca="1" si="12"/>
        <v>35213.620309999998</v>
      </c>
      <c r="G33" s="219">
        <f>BDI!$B$17</f>
        <v>0.191</v>
      </c>
      <c r="H33" s="138">
        <f t="shared" ca="1" si="13"/>
        <v>91.17</v>
      </c>
      <c r="I33" s="137">
        <f t="shared" ca="1" si="14"/>
        <v>41938.199999999997</v>
      </c>
      <c r="J33" s="116"/>
    </row>
    <row r="34" spans="1:10" x14ac:dyDescent="0.3">
      <c r="A34" s="181" t="s">
        <v>111</v>
      </c>
      <c r="B34" s="218" t="s">
        <v>2352</v>
      </c>
      <c r="C34" s="182" t="s">
        <v>20</v>
      </c>
      <c r="D34" s="182">
        <v>35</v>
      </c>
      <c r="E34" s="136">
        <f ca="1">OFFSET(INDEX(Composições!A:J,MATCH(A34,Composições!A:A,0),8),2,0)</f>
        <v>75.486493999999993</v>
      </c>
      <c r="F34" s="137">
        <f t="shared" ca="1" si="12"/>
        <v>2642.02729</v>
      </c>
      <c r="G34" s="219">
        <f>BDI!$B$17</f>
        <v>0.191</v>
      </c>
      <c r="H34" s="138">
        <f t="shared" ca="1" si="13"/>
        <v>89.9</v>
      </c>
      <c r="I34" s="137">
        <f t="shared" ca="1" si="14"/>
        <v>3146.5</v>
      </c>
      <c r="J34" s="116"/>
    </row>
    <row r="35" spans="1:10" x14ac:dyDescent="0.3">
      <c r="A35" s="181" t="s">
        <v>112</v>
      </c>
      <c r="B35" s="218" t="s">
        <v>1545</v>
      </c>
      <c r="C35" s="182" t="s">
        <v>20</v>
      </c>
      <c r="D35" s="182">
        <v>80</v>
      </c>
      <c r="E35" s="136">
        <f ca="1">OFFSET(INDEX(Composições!A:J,MATCH(A35,Composições!A:A,0),8),2,0)</f>
        <v>96.412490999999989</v>
      </c>
      <c r="F35" s="137">
        <f t="shared" ca="1" si="12"/>
        <v>7712.9992799999991</v>
      </c>
      <c r="G35" s="219">
        <f>BDI!$B$17</f>
        <v>0.191</v>
      </c>
      <c r="H35" s="138">
        <f t="shared" ca="1" si="13"/>
        <v>114.83</v>
      </c>
      <c r="I35" s="137">
        <f t="shared" ca="1" si="14"/>
        <v>9186.4</v>
      </c>
      <c r="J35" s="116"/>
    </row>
    <row r="36" spans="1:10" ht="15" customHeight="1" x14ac:dyDescent="0.3">
      <c r="A36" s="181" t="s">
        <v>113</v>
      </c>
      <c r="B36" s="218" t="s">
        <v>1546</v>
      </c>
      <c r="C36" s="182" t="s">
        <v>110</v>
      </c>
      <c r="D36" s="182">
        <v>5.07</v>
      </c>
      <c r="E36" s="136">
        <f ca="1">OFFSET(INDEX(Composições!A:J,MATCH(A36,Composições!A:A,0),8),2,0)</f>
        <v>528.14415958159998</v>
      </c>
      <c r="F36" s="137">
        <f t="shared" ca="1" si="12"/>
        <v>2677.6908890787122</v>
      </c>
      <c r="G36" s="219">
        <f>BDI!$B$17</f>
        <v>0.191</v>
      </c>
      <c r="H36" s="138">
        <f t="shared" ca="1" si="13"/>
        <v>629.02</v>
      </c>
      <c r="I36" s="137">
        <f t="shared" ca="1" si="14"/>
        <v>3189.13</v>
      </c>
      <c r="J36" s="116"/>
    </row>
    <row r="37" spans="1:10" x14ac:dyDescent="0.3">
      <c r="A37" s="181" t="s">
        <v>142</v>
      </c>
      <c r="B37" s="218" t="s">
        <v>1547</v>
      </c>
      <c r="C37" s="182" t="s">
        <v>95</v>
      </c>
      <c r="D37" s="182">
        <v>1302.6600000000001</v>
      </c>
      <c r="E37" s="136">
        <f ca="1">OFFSET(INDEX(Composições!A:J,MATCH(A37,Composições!A:A,0),8),2,0)</f>
        <v>142.569188943</v>
      </c>
      <c r="F37" s="137">
        <f t="shared" ca="1" si="12"/>
        <v>185719.17966848839</v>
      </c>
      <c r="G37" s="219">
        <f>BDI!$B$17</f>
        <v>0.191</v>
      </c>
      <c r="H37" s="138">
        <f t="shared" ca="1" si="13"/>
        <v>169.8</v>
      </c>
      <c r="I37" s="137">
        <f t="shared" ca="1" si="14"/>
        <v>221191.67</v>
      </c>
      <c r="J37" s="116"/>
    </row>
    <row r="38" spans="1:10" x14ac:dyDescent="0.3">
      <c r="A38" s="181" t="s">
        <v>152</v>
      </c>
      <c r="B38" s="218" t="s">
        <v>1548</v>
      </c>
      <c r="C38" s="182" t="s">
        <v>95</v>
      </c>
      <c r="D38" s="182">
        <v>151.19999999999999</v>
      </c>
      <c r="E38" s="136">
        <f ca="1">OFFSET(INDEX(Composições!A:J,MATCH(A38,Composições!A:A,0),8),2,0)</f>
        <v>63.601239986177198</v>
      </c>
      <c r="F38" s="137">
        <f t="shared" ca="1" si="12"/>
        <v>9616.5074859099914</v>
      </c>
      <c r="G38" s="219">
        <f>BDI!$B$17</f>
        <v>0.191</v>
      </c>
      <c r="H38" s="138">
        <f t="shared" ca="1" si="13"/>
        <v>75.75</v>
      </c>
      <c r="I38" s="137">
        <f t="shared" ca="1" si="14"/>
        <v>11453.4</v>
      </c>
      <c r="J38" s="116"/>
    </row>
    <row r="39" spans="1:10" x14ac:dyDescent="0.3">
      <c r="A39" s="181" t="s">
        <v>166</v>
      </c>
      <c r="B39" s="218" t="s">
        <v>1549</v>
      </c>
      <c r="C39" s="182" t="s">
        <v>93</v>
      </c>
      <c r="D39" s="182">
        <v>94</v>
      </c>
      <c r="E39" s="136">
        <f ca="1">OFFSET(INDEX(Composições!A:J,MATCH(A39,Composições!A:A,0),8),2,0)</f>
        <v>21.185355353464399</v>
      </c>
      <c r="F39" s="137">
        <f t="shared" ca="1" si="12"/>
        <v>1991.4234032256534</v>
      </c>
      <c r="G39" s="219">
        <f>BDI!$B$17</f>
        <v>0.191</v>
      </c>
      <c r="H39" s="138">
        <f t="shared" ca="1" si="13"/>
        <v>25.23</v>
      </c>
      <c r="I39" s="137">
        <f t="shared" ca="1" si="14"/>
        <v>2371.62</v>
      </c>
      <c r="J39" s="116"/>
    </row>
    <row r="40" spans="1:10" x14ac:dyDescent="0.3">
      <c r="A40" s="181" t="s">
        <v>181</v>
      </c>
      <c r="B40" s="218" t="s">
        <v>1550</v>
      </c>
      <c r="C40" s="182" t="s">
        <v>95</v>
      </c>
      <c r="D40" s="182">
        <v>302.39999999999998</v>
      </c>
      <c r="E40" s="136">
        <f ca="1">OFFSET(INDEX(Composições!A:J,MATCH(A40,Composições!A:A,0),8),2,0)</f>
        <v>3.6834275193842001</v>
      </c>
      <c r="F40" s="137">
        <f t="shared" ca="1" si="12"/>
        <v>1113.8684818617821</v>
      </c>
      <c r="G40" s="219">
        <f>BDI!$B$17</f>
        <v>0.191</v>
      </c>
      <c r="H40" s="138">
        <f t="shared" ca="1" si="13"/>
        <v>4.3899999999999997</v>
      </c>
      <c r="I40" s="137">
        <f t="shared" ca="1" si="14"/>
        <v>1327.54</v>
      </c>
      <c r="J40" s="116"/>
    </row>
    <row r="41" spans="1:10" x14ac:dyDescent="0.3">
      <c r="A41" s="181" t="s">
        <v>187</v>
      </c>
      <c r="B41" s="218" t="s">
        <v>1551</v>
      </c>
      <c r="C41" s="182" t="s">
        <v>95</v>
      </c>
      <c r="D41" s="182">
        <v>302.39999999999998</v>
      </c>
      <c r="E41" s="136">
        <f ca="1">OFFSET(INDEX(Composições!A:J,MATCH(A41,Composições!A:A,0),8),2,0)</f>
        <v>30.613241299999999</v>
      </c>
      <c r="F41" s="137">
        <f t="shared" ca="1" si="12"/>
        <v>9257.4441691199991</v>
      </c>
      <c r="G41" s="219">
        <f>BDI!$B$17</f>
        <v>0.191</v>
      </c>
      <c r="H41" s="138">
        <f t="shared" ca="1" si="13"/>
        <v>36.46</v>
      </c>
      <c r="I41" s="137">
        <f t="shared" ca="1" si="14"/>
        <v>11025.5</v>
      </c>
      <c r="J41" s="116"/>
    </row>
    <row r="42" spans="1:10" x14ac:dyDescent="0.3">
      <c r="A42" s="181" t="s">
        <v>223</v>
      </c>
      <c r="B42" s="218" t="s">
        <v>1552</v>
      </c>
      <c r="C42" s="182" t="s">
        <v>95</v>
      </c>
      <c r="D42" s="182">
        <v>52</v>
      </c>
      <c r="E42" s="136">
        <f ca="1">OFFSET(INDEX(Composições!A:J,MATCH(A42,Composições!A:A,0),8),2,0)</f>
        <v>29.246785093677495</v>
      </c>
      <c r="F42" s="137">
        <f t="shared" ca="1" si="12"/>
        <v>1520.8328248712298</v>
      </c>
      <c r="G42" s="219">
        <f>BDI!$B$17</f>
        <v>0.191</v>
      </c>
      <c r="H42" s="138">
        <f t="shared" ca="1" si="13"/>
        <v>34.83</v>
      </c>
      <c r="I42" s="137">
        <f t="shared" ca="1" si="14"/>
        <v>1811.16</v>
      </c>
      <c r="J42" s="116"/>
    </row>
    <row r="43" spans="1:10" x14ac:dyDescent="0.3">
      <c r="A43" s="181" t="s">
        <v>321</v>
      </c>
      <c r="B43" s="218" t="s">
        <v>1553</v>
      </c>
      <c r="C43" s="182" t="s">
        <v>93</v>
      </c>
      <c r="D43" s="182">
        <v>8</v>
      </c>
      <c r="E43" s="136">
        <f ca="1">OFFSET(INDEX(Composições!A:J,MATCH(A43,Composições!A:A,0),8),2,0)</f>
        <v>53.193020400000002</v>
      </c>
      <c r="F43" s="137">
        <f t="shared" ca="1" si="12"/>
        <v>425.54416320000001</v>
      </c>
      <c r="G43" s="219">
        <f>BDI!$B$17</f>
        <v>0.191</v>
      </c>
      <c r="H43" s="138">
        <f t="shared" ca="1" si="13"/>
        <v>63.35</v>
      </c>
      <c r="I43" s="137">
        <f t="shared" ca="1" si="14"/>
        <v>506.8</v>
      </c>
      <c r="J43" s="116"/>
    </row>
    <row r="44" spans="1:10" x14ac:dyDescent="0.3">
      <c r="A44" s="181" t="s">
        <v>327</v>
      </c>
      <c r="B44" s="218" t="s">
        <v>1554</v>
      </c>
      <c r="C44" s="182" t="s">
        <v>93</v>
      </c>
      <c r="D44" s="182">
        <v>21</v>
      </c>
      <c r="E44" s="136">
        <f ca="1">OFFSET(INDEX(Composições!A:J,MATCH(A44,Composições!A:A,0),8),2,0)</f>
        <v>33.566858699999997</v>
      </c>
      <c r="F44" s="137">
        <f t="shared" ca="1" si="12"/>
        <v>704.9040326999999</v>
      </c>
      <c r="G44" s="219">
        <f>BDI!$B$17</f>
        <v>0.191</v>
      </c>
      <c r="H44" s="138">
        <f t="shared" ca="1" si="13"/>
        <v>39.979999999999997</v>
      </c>
      <c r="I44" s="137">
        <f t="shared" ca="1" si="14"/>
        <v>839.58</v>
      </c>
      <c r="J44" s="116"/>
    </row>
    <row r="45" spans="1:10" x14ac:dyDescent="0.3">
      <c r="A45" s="181" t="s">
        <v>457</v>
      </c>
      <c r="B45" s="218" t="s">
        <v>1555</v>
      </c>
      <c r="C45" s="182" t="s">
        <v>20</v>
      </c>
      <c r="D45" s="182">
        <v>4</v>
      </c>
      <c r="E45" s="136">
        <f ca="1">OFFSET(INDEX(Composições!A:J,MATCH(A45,Composições!A:A,0),8),2,0)</f>
        <v>114.499244</v>
      </c>
      <c r="F45" s="137">
        <f t="shared" ca="1" si="12"/>
        <v>457.99697600000002</v>
      </c>
      <c r="G45" s="219">
        <f>BDI!$B$17</f>
        <v>0.191</v>
      </c>
      <c r="H45" s="138">
        <f t="shared" ca="1" si="13"/>
        <v>136.37</v>
      </c>
      <c r="I45" s="137">
        <f t="shared" ca="1" si="14"/>
        <v>545.48</v>
      </c>
      <c r="J45" s="116"/>
    </row>
    <row r="46" spans="1:10" x14ac:dyDescent="0.3">
      <c r="A46" s="181" t="s">
        <v>465</v>
      </c>
      <c r="B46" s="218" t="s">
        <v>2354</v>
      </c>
      <c r="C46" s="182" t="s">
        <v>20</v>
      </c>
      <c r="D46" s="182">
        <v>155</v>
      </c>
      <c r="E46" s="136">
        <f ca="1">OFFSET(INDEX(Composições!A:J,MATCH(A46,Composições!A:A,0),8),2,0)</f>
        <v>30.157438999999997</v>
      </c>
      <c r="F46" s="137">
        <f t="shared" ca="1" si="12"/>
        <v>4674.4030449999991</v>
      </c>
      <c r="G46" s="219">
        <f>BDI!$B$17</f>
        <v>0.191</v>
      </c>
      <c r="H46" s="138">
        <f t="shared" ca="1" si="13"/>
        <v>35.92</v>
      </c>
      <c r="I46" s="137">
        <f t="shared" ca="1" si="14"/>
        <v>5567.6</v>
      </c>
      <c r="J46" s="116"/>
    </row>
    <row r="47" spans="1:10" x14ac:dyDescent="0.3">
      <c r="A47" s="181" t="s">
        <v>509</v>
      </c>
      <c r="B47" s="218" t="s">
        <v>1556</v>
      </c>
      <c r="C47" s="182" t="s">
        <v>93</v>
      </c>
      <c r="D47" s="182">
        <v>400</v>
      </c>
      <c r="E47" s="136">
        <f ca="1">OFFSET(INDEX(Composições!A:J,MATCH(A47,Composições!A:A,0),8),2,0)</f>
        <v>26.486116184460002</v>
      </c>
      <c r="F47" s="137">
        <f t="shared" ca="1" si="12"/>
        <v>10594.446473784001</v>
      </c>
      <c r="G47" s="219">
        <f>BDI!$B$17</f>
        <v>0.191</v>
      </c>
      <c r="H47" s="138">
        <f t="shared" ca="1" si="13"/>
        <v>31.54</v>
      </c>
      <c r="I47" s="137">
        <f t="shared" ca="1" si="14"/>
        <v>12616</v>
      </c>
      <c r="J47" s="116"/>
    </row>
    <row r="48" spans="1:10" x14ac:dyDescent="0.3">
      <c r="A48" s="181" t="s">
        <v>512</v>
      </c>
      <c r="B48" s="218" t="s">
        <v>1557</v>
      </c>
      <c r="C48" s="182" t="s">
        <v>93</v>
      </c>
      <c r="D48" s="182">
        <v>850</v>
      </c>
      <c r="E48" s="136">
        <f ca="1">OFFSET(INDEX(Composições!A:J,MATCH(A48,Composições!A:A,0),8),2,0)</f>
        <v>61.048541421620001</v>
      </c>
      <c r="F48" s="137">
        <f t="shared" ca="1" si="12"/>
        <v>51891.260208377003</v>
      </c>
      <c r="G48" s="219">
        <f>BDI!$B$17</f>
        <v>0.191</v>
      </c>
      <c r="H48" s="138">
        <f t="shared" ca="1" si="13"/>
        <v>72.709999999999994</v>
      </c>
      <c r="I48" s="137">
        <f t="shared" ca="1" si="14"/>
        <v>61803.5</v>
      </c>
      <c r="J48" s="116"/>
    </row>
    <row r="49" spans="1:10" x14ac:dyDescent="0.3">
      <c r="A49" s="181" t="s">
        <v>525</v>
      </c>
      <c r="B49" s="218" t="s">
        <v>1558</v>
      </c>
      <c r="C49" s="182" t="s">
        <v>93</v>
      </c>
      <c r="D49" s="182">
        <v>5</v>
      </c>
      <c r="E49" s="136">
        <f ca="1">OFFSET(INDEX(Composições!A:J,MATCH(A49,Composições!A:A,0),8),2,0)</f>
        <v>17.071978000000001</v>
      </c>
      <c r="F49" s="137">
        <f t="shared" ca="1" si="12"/>
        <v>85.359890000000007</v>
      </c>
      <c r="G49" s="219">
        <f>BDI!$B$17</f>
        <v>0.191</v>
      </c>
      <c r="H49" s="138">
        <f t="shared" ca="1" si="13"/>
        <v>20.329999999999998</v>
      </c>
      <c r="I49" s="137">
        <f t="shared" ca="1" si="14"/>
        <v>101.65</v>
      </c>
      <c r="J49" s="116"/>
    </row>
    <row r="50" spans="1:10" x14ac:dyDescent="0.3">
      <c r="A50" s="181" t="s">
        <v>529</v>
      </c>
      <c r="B50" s="218" t="s">
        <v>1559</v>
      </c>
      <c r="C50" s="182" t="s">
        <v>93</v>
      </c>
      <c r="D50" s="182">
        <v>10</v>
      </c>
      <c r="E50" s="136">
        <f ca="1">OFFSET(INDEX(Composições!A:J,MATCH(A50,Composições!A:A,0),8),2,0)</f>
        <v>59.912479950000005</v>
      </c>
      <c r="F50" s="137">
        <f t="shared" ca="1" si="12"/>
        <v>599.12479950000011</v>
      </c>
      <c r="G50" s="219">
        <f>BDI!$B$17</f>
        <v>0.191</v>
      </c>
      <c r="H50" s="138">
        <f t="shared" ca="1" si="13"/>
        <v>71.36</v>
      </c>
      <c r="I50" s="137">
        <f t="shared" ca="1" si="14"/>
        <v>713.6</v>
      </c>
      <c r="J50" s="116"/>
    </row>
    <row r="51" spans="1:10" x14ac:dyDescent="0.3">
      <c r="A51" s="181" t="s">
        <v>542</v>
      </c>
      <c r="B51" s="218" t="s">
        <v>1560</v>
      </c>
      <c r="C51" s="182" t="s">
        <v>20</v>
      </c>
      <c r="D51" s="182">
        <v>6</v>
      </c>
      <c r="E51" s="136">
        <f ca="1">OFFSET(INDEX(Composições!A:J,MATCH(A51,Composições!A:A,0),8),2,0)</f>
        <v>18.092099999999999</v>
      </c>
      <c r="F51" s="137">
        <f t="shared" ca="1" si="12"/>
        <v>108.55259999999998</v>
      </c>
      <c r="G51" s="219">
        <f>BDI!$B$17</f>
        <v>0.191</v>
      </c>
      <c r="H51" s="138">
        <f t="shared" ca="1" si="13"/>
        <v>21.55</v>
      </c>
      <c r="I51" s="137">
        <f t="shared" ca="1" si="14"/>
        <v>129.30000000000001</v>
      </c>
      <c r="J51" s="116"/>
    </row>
    <row r="52" spans="1:10" x14ac:dyDescent="0.3">
      <c r="A52" s="181" t="s">
        <v>570</v>
      </c>
      <c r="B52" s="218" t="s">
        <v>1561</v>
      </c>
      <c r="C52" s="182" t="s">
        <v>20</v>
      </c>
      <c r="D52" s="182">
        <v>110</v>
      </c>
      <c r="E52" s="136">
        <f ca="1">OFFSET(INDEX(Composições!A:J,MATCH(A52,Composições!A:A,0),8),2,0)</f>
        <v>30.185511999999999</v>
      </c>
      <c r="F52" s="137">
        <f t="shared" ca="1" si="12"/>
        <v>3320.4063200000001</v>
      </c>
      <c r="G52" s="219">
        <f>BDI!$B$17</f>
        <v>0.191</v>
      </c>
      <c r="H52" s="138">
        <f t="shared" ca="1" si="13"/>
        <v>35.950000000000003</v>
      </c>
      <c r="I52" s="137">
        <f t="shared" ca="1" si="14"/>
        <v>3954.5</v>
      </c>
      <c r="J52" s="116"/>
    </row>
    <row r="53" spans="1:10" x14ac:dyDescent="0.3">
      <c r="A53" s="181" t="s">
        <v>593</v>
      </c>
      <c r="B53" s="218" t="s">
        <v>2150</v>
      </c>
      <c r="C53" s="182" t="s">
        <v>93</v>
      </c>
      <c r="D53" s="182">
        <v>130</v>
      </c>
      <c r="E53" s="136">
        <f ca="1">OFFSET(INDEX(Composições!A:J,MATCH(A53,Composições!A:A,0),8),2,0)</f>
        <v>24.5900325</v>
      </c>
      <c r="F53" s="137">
        <f t="shared" ca="1" si="12"/>
        <v>3196.704225</v>
      </c>
      <c r="G53" s="219">
        <f>BDI!$B$17</f>
        <v>0.191</v>
      </c>
      <c r="H53" s="138">
        <f t="shared" ca="1" si="13"/>
        <v>29.29</v>
      </c>
      <c r="I53" s="137">
        <f t="shared" ca="1" si="14"/>
        <v>3807.7</v>
      </c>
      <c r="J53" s="116"/>
    </row>
    <row r="54" spans="1:10" x14ac:dyDescent="0.3">
      <c r="A54" s="181" t="s">
        <v>595</v>
      </c>
      <c r="B54" s="218" t="s">
        <v>1562</v>
      </c>
      <c r="C54" s="182" t="s">
        <v>93</v>
      </c>
      <c r="D54" s="182">
        <v>2850</v>
      </c>
      <c r="E54" s="136">
        <f ca="1">OFFSET(INDEX(Composições!A:J,MATCH(A54,Composições!A:A,0),8),2,0)</f>
        <v>5.3456839999999994</v>
      </c>
      <c r="F54" s="137">
        <f t="shared" ca="1" si="12"/>
        <v>15235.199399999998</v>
      </c>
      <c r="G54" s="219">
        <f>BDI!$B$17</f>
        <v>0.191</v>
      </c>
      <c r="H54" s="138">
        <f t="shared" ca="1" si="13"/>
        <v>6.37</v>
      </c>
      <c r="I54" s="137">
        <f t="shared" ca="1" si="14"/>
        <v>18154.5</v>
      </c>
      <c r="J54" s="116"/>
    </row>
    <row r="55" spans="1:10" x14ac:dyDescent="0.3">
      <c r="A55" s="181" t="s">
        <v>599</v>
      </c>
      <c r="B55" s="218" t="s">
        <v>1563</v>
      </c>
      <c r="C55" s="182" t="s">
        <v>93</v>
      </c>
      <c r="D55" s="182">
        <v>2600</v>
      </c>
      <c r="E55" s="136">
        <f ca="1">OFFSET(INDEX(Composições!A:J,MATCH(A55,Composições!A:A,0),8),2,0)</f>
        <v>8.0541239999999998</v>
      </c>
      <c r="F55" s="137">
        <f t="shared" ca="1" si="12"/>
        <v>20940.722399999999</v>
      </c>
      <c r="G55" s="219">
        <f>BDI!$B$17</f>
        <v>0.191</v>
      </c>
      <c r="H55" s="138">
        <f t="shared" ca="1" si="13"/>
        <v>9.59</v>
      </c>
      <c r="I55" s="137">
        <f t="shared" ca="1" si="14"/>
        <v>24934</v>
      </c>
      <c r="J55" s="116"/>
    </row>
    <row r="56" spans="1:10" x14ac:dyDescent="0.3">
      <c r="A56" s="181" t="s">
        <v>938</v>
      </c>
      <c r="B56" s="218" t="s">
        <v>1608</v>
      </c>
      <c r="C56" s="182" t="s">
        <v>42</v>
      </c>
      <c r="D56" s="182">
        <v>3415.18</v>
      </c>
      <c r="E56" s="136">
        <f ca="1">OFFSET(INDEX(Composições!A:J,MATCH(A56,Composições!A:A,0),8),2,0)</f>
        <v>16.2135715</v>
      </c>
      <c r="F56" s="137">
        <f t="shared" ca="1" si="12"/>
        <v>55372.265115369999</v>
      </c>
      <c r="G56" s="219">
        <f>BDI!$B$17</f>
        <v>0.191</v>
      </c>
      <c r="H56" s="138">
        <f t="shared" ca="1" si="13"/>
        <v>19.309999999999999</v>
      </c>
      <c r="I56" s="137">
        <f t="shared" ca="1" si="14"/>
        <v>65947.13</v>
      </c>
      <c r="J56" s="116"/>
    </row>
    <row r="57" spans="1:10" x14ac:dyDescent="0.3">
      <c r="A57" s="181" t="s">
        <v>975</v>
      </c>
      <c r="B57" s="218" t="s">
        <v>2355</v>
      </c>
      <c r="C57" s="182" t="s">
        <v>42</v>
      </c>
      <c r="D57" s="182">
        <v>3199.45</v>
      </c>
      <c r="E57" s="136">
        <f ca="1">OFFSET(INDEX(Composições!A:J,MATCH(A57,Composições!A:A,0),8),2,0)</f>
        <v>12.243340500000002</v>
      </c>
      <c r="F57" s="137">
        <f t="shared" ca="1" si="12"/>
        <v>39171.955762725003</v>
      </c>
      <c r="G57" s="219">
        <f>BDI!$B$17</f>
        <v>0.191</v>
      </c>
      <c r="H57" s="138">
        <f t="shared" ca="1" si="13"/>
        <v>14.58</v>
      </c>
      <c r="I57" s="137">
        <f t="shared" ca="1" si="14"/>
        <v>46647.98</v>
      </c>
      <c r="J57" s="116"/>
    </row>
    <row r="58" spans="1:10" x14ac:dyDescent="0.3">
      <c r="A58" s="181" t="s">
        <v>977</v>
      </c>
      <c r="B58" s="218" t="s">
        <v>2356</v>
      </c>
      <c r="C58" s="182" t="s">
        <v>42</v>
      </c>
      <c r="D58" s="182">
        <v>712.55</v>
      </c>
      <c r="E58" s="136">
        <f ca="1">OFFSET(INDEX(Composições!A:J,MATCH(A58,Composições!A:A,0),8),2,0)</f>
        <v>13.0311545</v>
      </c>
      <c r="F58" s="137">
        <f t="shared" ca="1" si="12"/>
        <v>9285.3491389749997</v>
      </c>
      <c r="G58" s="219">
        <f>BDI!$B$17</f>
        <v>0.191</v>
      </c>
      <c r="H58" s="138">
        <f t="shared" ca="1" si="13"/>
        <v>15.52</v>
      </c>
      <c r="I58" s="137">
        <f t="shared" ca="1" si="14"/>
        <v>11058.78</v>
      </c>
      <c r="J58" s="116"/>
    </row>
    <row r="59" spans="1:10" x14ac:dyDescent="0.3">
      <c r="A59" s="181" t="s">
        <v>980</v>
      </c>
      <c r="B59" s="218" t="s">
        <v>1609</v>
      </c>
      <c r="C59" s="182" t="s">
        <v>110</v>
      </c>
      <c r="D59" s="182">
        <v>118.93</v>
      </c>
      <c r="E59" s="136">
        <f ca="1">OFFSET(INDEX(Composições!A:J,MATCH(A59,Composições!A:A,0),8),2,0)</f>
        <v>59.215385999999995</v>
      </c>
      <c r="F59" s="137">
        <f t="shared" ca="1" si="12"/>
        <v>7042.4858569799999</v>
      </c>
      <c r="G59" s="219">
        <f>BDI!$B$17</f>
        <v>0.191</v>
      </c>
      <c r="H59" s="138">
        <f t="shared" ca="1" si="13"/>
        <v>70.53</v>
      </c>
      <c r="I59" s="137">
        <f t="shared" ca="1" si="14"/>
        <v>8388.1299999999992</v>
      </c>
      <c r="J59" s="116"/>
    </row>
    <row r="60" spans="1:10" x14ac:dyDescent="0.3">
      <c r="A60" s="181" t="s">
        <v>981</v>
      </c>
      <c r="B60" s="218" t="s">
        <v>1610</v>
      </c>
      <c r="C60" s="182" t="s">
        <v>110</v>
      </c>
      <c r="D60" s="182">
        <v>95.52</v>
      </c>
      <c r="E60" s="136">
        <f ca="1">OFFSET(INDEX(Composições!A:J,MATCH(A60,Composições!A:A,0),8),2,0)</f>
        <v>21.537512499999998</v>
      </c>
      <c r="F60" s="137">
        <f t="shared" ca="1" si="12"/>
        <v>2057.2631939999997</v>
      </c>
      <c r="G60" s="219">
        <f>BDI!$B$17</f>
        <v>0.191</v>
      </c>
      <c r="H60" s="138">
        <f t="shared" ca="1" si="13"/>
        <v>25.65</v>
      </c>
      <c r="I60" s="137">
        <f t="shared" ca="1" si="14"/>
        <v>2450.09</v>
      </c>
      <c r="J60" s="116"/>
    </row>
    <row r="61" spans="1:10" x14ac:dyDescent="0.3">
      <c r="A61" s="181" t="s">
        <v>987</v>
      </c>
      <c r="B61" s="218" t="s">
        <v>1611</v>
      </c>
      <c r="C61" s="182" t="s">
        <v>110</v>
      </c>
      <c r="D61" s="182">
        <v>724.12</v>
      </c>
      <c r="E61" s="136">
        <f ca="1">OFFSET(INDEX(Composições!A:J,MATCH(A61,Composições!A:A,0),8),2,0)</f>
        <v>83.207768625</v>
      </c>
      <c r="F61" s="137">
        <f t="shared" ca="1" si="12"/>
        <v>60252.409416734998</v>
      </c>
      <c r="G61" s="219">
        <f>BDI!$B$17</f>
        <v>0.191</v>
      </c>
      <c r="H61" s="138">
        <f t="shared" ca="1" si="13"/>
        <v>99.1</v>
      </c>
      <c r="I61" s="137">
        <f t="shared" ca="1" si="14"/>
        <v>71760.289999999994</v>
      </c>
      <c r="J61" s="115"/>
    </row>
    <row r="62" spans="1:10" x14ac:dyDescent="0.3">
      <c r="A62" s="181" t="s">
        <v>1013</v>
      </c>
      <c r="B62" s="218" t="s">
        <v>2151</v>
      </c>
      <c r="C62" s="182" t="s">
        <v>93</v>
      </c>
      <c r="D62" s="182">
        <v>1470</v>
      </c>
      <c r="E62" s="136">
        <f ca="1">OFFSET(INDEX(Composições!A:J,MATCH(A62,Composições!A:A,0),8),2,0)</f>
        <v>74.718756999999997</v>
      </c>
      <c r="F62" s="137">
        <f t="shared" ca="1" si="12"/>
        <v>109836.57278999999</v>
      </c>
      <c r="G62" s="219">
        <f>BDI!$B$17</f>
        <v>0.191</v>
      </c>
      <c r="H62" s="138">
        <f t="shared" ca="1" si="13"/>
        <v>88.99</v>
      </c>
      <c r="I62" s="137">
        <f t="shared" ca="1" si="14"/>
        <v>130815.3</v>
      </c>
      <c r="J62" s="115"/>
    </row>
    <row r="63" spans="1:10" x14ac:dyDescent="0.3">
      <c r="A63" s="181" t="s">
        <v>1015</v>
      </c>
      <c r="B63" s="218" t="s">
        <v>2152</v>
      </c>
      <c r="C63" s="182" t="s">
        <v>93</v>
      </c>
      <c r="D63" s="182">
        <v>110</v>
      </c>
      <c r="E63" s="136">
        <f ca="1">OFFSET(INDEX(Composições!A:J,MATCH(A63,Composições!A:A,0),8),2,0)</f>
        <v>102.27475399999997</v>
      </c>
      <c r="F63" s="137">
        <f t="shared" ca="1" si="12"/>
        <v>11250.222939999998</v>
      </c>
      <c r="G63" s="219">
        <f>BDI!$B$17</f>
        <v>0.191</v>
      </c>
      <c r="H63" s="138">
        <f t="shared" ca="1" si="13"/>
        <v>121.81</v>
      </c>
      <c r="I63" s="137">
        <f t="shared" ca="1" si="14"/>
        <v>13399.1</v>
      </c>
      <c r="J63" s="115"/>
    </row>
    <row r="64" spans="1:10" x14ac:dyDescent="0.3">
      <c r="A64" s="181" t="s">
        <v>1017</v>
      </c>
      <c r="B64" s="218" t="s">
        <v>2153</v>
      </c>
      <c r="C64" s="182" t="s">
        <v>93</v>
      </c>
      <c r="D64" s="182">
        <v>1440</v>
      </c>
      <c r="E64" s="136">
        <f ca="1">OFFSET(INDEX(Composições!A:J,MATCH(A64,Composições!A:A,0),8),2,0)</f>
        <v>136.1469735</v>
      </c>
      <c r="F64" s="137">
        <f t="shared" ca="1" si="12"/>
        <v>196051.64184</v>
      </c>
      <c r="G64" s="219">
        <f>BDI!$B$17</f>
        <v>0.191</v>
      </c>
      <c r="H64" s="138">
        <f t="shared" ca="1" si="13"/>
        <v>162.15</v>
      </c>
      <c r="I64" s="137">
        <f t="shared" ca="1" si="14"/>
        <v>233496</v>
      </c>
      <c r="J64" s="115"/>
    </row>
    <row r="65" spans="1:10" x14ac:dyDescent="0.3">
      <c r="A65" s="181" t="s">
        <v>1021</v>
      </c>
      <c r="B65" s="218" t="s">
        <v>2154</v>
      </c>
      <c r="C65" s="182" t="s">
        <v>93</v>
      </c>
      <c r="D65" s="182">
        <v>2500</v>
      </c>
      <c r="E65" s="136">
        <f ca="1">OFFSET(INDEX(Composições!A:J,MATCH(A65,Composições!A:A,0),8),2,0)</f>
        <v>215.31511499999999</v>
      </c>
      <c r="F65" s="137">
        <f t="shared" ca="1" si="12"/>
        <v>538287.78749999998</v>
      </c>
      <c r="G65" s="219">
        <f>BDI!$B$17</f>
        <v>0.191</v>
      </c>
      <c r="H65" s="138">
        <f t="shared" ca="1" si="13"/>
        <v>256.44</v>
      </c>
      <c r="I65" s="137">
        <f t="shared" ca="1" si="14"/>
        <v>641100</v>
      </c>
      <c r="J65" s="115"/>
    </row>
    <row r="66" spans="1:10" x14ac:dyDescent="0.3">
      <c r="A66" s="181" t="s">
        <v>1025</v>
      </c>
      <c r="B66" s="218" t="s">
        <v>2155</v>
      </c>
      <c r="C66" s="182" t="s">
        <v>93</v>
      </c>
      <c r="D66" s="182">
        <v>2250</v>
      </c>
      <c r="E66" s="136">
        <f ca="1">OFFSET(INDEX(Composições!A:J,MATCH(A66,Composições!A:A,0),8),2,0)</f>
        <v>336.122725</v>
      </c>
      <c r="F66" s="137">
        <f t="shared" ca="1" si="12"/>
        <v>756276.13124999998</v>
      </c>
      <c r="G66" s="219">
        <f>BDI!$B$17</f>
        <v>0.191</v>
      </c>
      <c r="H66" s="138">
        <f t="shared" ca="1" si="13"/>
        <v>400.32</v>
      </c>
      <c r="I66" s="137">
        <f t="shared" ca="1" si="14"/>
        <v>900720</v>
      </c>
      <c r="J66" s="115"/>
    </row>
    <row r="67" spans="1:10" x14ac:dyDescent="0.3">
      <c r="A67" s="181" t="s">
        <v>1043</v>
      </c>
      <c r="B67" s="218" t="s">
        <v>1612</v>
      </c>
      <c r="C67" s="182" t="s">
        <v>20</v>
      </c>
      <c r="D67" s="182">
        <v>5</v>
      </c>
      <c r="E67" s="136">
        <f ca="1">OFFSET(INDEX(Composições!A:J,MATCH(A67,Composições!A:A,0),8),2,0)</f>
        <v>255.53702094553816</v>
      </c>
      <c r="F67" s="137">
        <f t="shared" ca="1" si="12"/>
        <v>1277.6851047276907</v>
      </c>
      <c r="G67" s="219">
        <f>BDI!$B$17</f>
        <v>0.191</v>
      </c>
      <c r="H67" s="138">
        <f t="shared" ca="1" si="13"/>
        <v>304.33999999999997</v>
      </c>
      <c r="I67" s="137">
        <f t="shared" ca="1" si="14"/>
        <v>1521.7</v>
      </c>
      <c r="J67" s="115"/>
    </row>
    <row r="68" spans="1:10" x14ac:dyDescent="0.3">
      <c r="A68" s="181" t="s">
        <v>1054</v>
      </c>
      <c r="B68" s="218" t="s">
        <v>1613</v>
      </c>
      <c r="C68" s="182" t="s">
        <v>95</v>
      </c>
      <c r="D68" s="182">
        <v>302.39999999999998</v>
      </c>
      <c r="E68" s="136">
        <f ca="1">OFFSET(INDEX(Composições!A:J,MATCH(A68,Composições!A:A,0),8),2,0)</f>
        <v>34.343391499999996</v>
      </c>
      <c r="F68" s="137">
        <f t="shared" ca="1" si="12"/>
        <v>10385.441589599997</v>
      </c>
      <c r="G68" s="219">
        <f>BDI!$B$17</f>
        <v>0.191</v>
      </c>
      <c r="H68" s="138">
        <f t="shared" ca="1" si="13"/>
        <v>40.9</v>
      </c>
      <c r="I68" s="137">
        <f t="shared" ca="1" si="14"/>
        <v>12368.16</v>
      </c>
      <c r="J68" s="115"/>
    </row>
    <row r="69" spans="1:10" x14ac:dyDescent="0.3">
      <c r="A69" s="181" t="s">
        <v>1112</v>
      </c>
      <c r="B69" s="218" t="s">
        <v>2353</v>
      </c>
      <c r="C69" s="182" t="s">
        <v>1614</v>
      </c>
      <c r="D69" s="182">
        <v>96.7</v>
      </c>
      <c r="E69" s="136">
        <f ca="1">OFFSET(INDEX(Composições!A:J,MATCH(A69,Composições!A:A,0),8),2,0)</f>
        <v>472.16246486809996</v>
      </c>
      <c r="F69" s="137">
        <f t="shared" ca="1" si="12"/>
        <v>45658.110352745265</v>
      </c>
      <c r="G69" s="219">
        <f>BDI!$B$17</f>
        <v>0.191</v>
      </c>
      <c r="H69" s="138">
        <f t="shared" ca="1" si="13"/>
        <v>562.35</v>
      </c>
      <c r="I69" s="137">
        <f t="shared" ca="1" si="14"/>
        <v>54379.25</v>
      </c>
      <c r="J69" s="115"/>
    </row>
    <row r="70" spans="1:10" x14ac:dyDescent="0.3">
      <c r="A70" s="181" t="s">
        <v>1114</v>
      </c>
      <c r="B70" s="218" t="s">
        <v>1615</v>
      </c>
      <c r="C70" s="182" t="s">
        <v>95</v>
      </c>
      <c r="D70" s="182">
        <v>873</v>
      </c>
      <c r="E70" s="136">
        <f ca="1">OFFSET(INDEX(Composições!A:J,MATCH(A70,Composições!A:A,0),8),2,0)</f>
        <v>103.72608649999999</v>
      </c>
      <c r="F70" s="137">
        <f t="shared" ca="1" si="12"/>
        <v>90552.873514499996</v>
      </c>
      <c r="G70" s="219">
        <f>BDI!$B$17</f>
        <v>0.191</v>
      </c>
      <c r="H70" s="138">
        <f t="shared" ca="1" si="13"/>
        <v>123.54</v>
      </c>
      <c r="I70" s="137">
        <f t="shared" ca="1" si="14"/>
        <v>107850.42</v>
      </c>
      <c r="J70" s="115"/>
    </row>
    <row r="71" spans="1:10" x14ac:dyDescent="0.3">
      <c r="A71" s="181" t="s">
        <v>1122</v>
      </c>
      <c r="B71" s="218" t="s">
        <v>1616</v>
      </c>
      <c r="C71" s="182" t="s">
        <v>1617</v>
      </c>
      <c r="D71" s="182">
        <v>600</v>
      </c>
      <c r="E71" s="136">
        <f ca="1">OFFSET(INDEX(Composições!A:J,MATCH(A71,Composições!A:A,0),8),2,0)</f>
        <v>2.6731055000000001</v>
      </c>
      <c r="F71" s="137">
        <f t="shared" ca="1" si="12"/>
        <v>1603.8633</v>
      </c>
      <c r="G71" s="219">
        <f>BDI!$B$17</f>
        <v>0.191</v>
      </c>
      <c r="H71" s="138">
        <f t="shared" ca="1" si="13"/>
        <v>3.18</v>
      </c>
      <c r="I71" s="137">
        <f t="shared" ca="1" si="14"/>
        <v>1908</v>
      </c>
      <c r="J71" s="115"/>
    </row>
    <row r="72" spans="1:10" x14ac:dyDescent="0.3">
      <c r="A72" s="181" t="s">
        <v>1125</v>
      </c>
      <c r="B72" s="218" t="s">
        <v>1618</v>
      </c>
      <c r="C72" s="182" t="s">
        <v>1614</v>
      </c>
      <c r="D72" s="182">
        <v>28.24</v>
      </c>
      <c r="E72" s="136">
        <f ca="1">OFFSET(INDEX(Composições!A:J,MATCH(A72,Composições!A:A,0),8),2,0)</f>
        <v>64.364549999999994</v>
      </c>
      <c r="F72" s="137">
        <f t="shared" ca="1" si="12"/>
        <v>1817.6548919999998</v>
      </c>
      <c r="G72" s="219">
        <f>BDI!$B$17</f>
        <v>0.191</v>
      </c>
      <c r="H72" s="138">
        <f t="shared" ca="1" si="13"/>
        <v>76.66</v>
      </c>
      <c r="I72" s="137">
        <f t="shared" ca="1" si="14"/>
        <v>2164.88</v>
      </c>
      <c r="J72" s="115"/>
    </row>
    <row r="73" spans="1:10" x14ac:dyDescent="0.3">
      <c r="A73" s="181" t="s">
        <v>1126</v>
      </c>
      <c r="B73" s="218" t="s">
        <v>1619</v>
      </c>
      <c r="C73" s="182" t="s">
        <v>1614</v>
      </c>
      <c r="D73" s="182">
        <v>65.900000000000006</v>
      </c>
      <c r="E73" s="136">
        <f ca="1">OFFSET(INDEX(Composições!A:J,MATCH(A73,Composições!A:A,0),8),2,0)</f>
        <v>4.5328613000000004</v>
      </c>
      <c r="F73" s="137">
        <f t="shared" ca="1" si="12"/>
        <v>298.71555967000006</v>
      </c>
      <c r="G73" s="219">
        <f>BDI!$B$17</f>
        <v>0.191</v>
      </c>
      <c r="H73" s="138">
        <f t="shared" ca="1" si="13"/>
        <v>5.4</v>
      </c>
      <c r="I73" s="137">
        <f t="shared" ca="1" si="14"/>
        <v>355.86</v>
      </c>
      <c r="J73" s="115"/>
    </row>
    <row r="74" spans="1:10" x14ac:dyDescent="0.3">
      <c r="A74" s="181" t="s">
        <v>1127</v>
      </c>
      <c r="B74" s="218" t="s">
        <v>1620</v>
      </c>
      <c r="C74" s="182" t="s">
        <v>95</v>
      </c>
      <c r="D74" s="182">
        <v>1200</v>
      </c>
      <c r="E74" s="136">
        <f ca="1">OFFSET(INDEX(Composições!A:J,MATCH(A74,Composições!A:A,0),8),2,0)</f>
        <v>46.768069963730994</v>
      </c>
      <c r="F74" s="137">
        <f t="shared" ca="1" si="12"/>
        <v>56121.683956477194</v>
      </c>
      <c r="G74" s="219">
        <f>BDI!$B$17</f>
        <v>0.191</v>
      </c>
      <c r="H74" s="138">
        <f t="shared" ca="1" si="13"/>
        <v>55.7</v>
      </c>
      <c r="I74" s="137">
        <f t="shared" ca="1" si="14"/>
        <v>66840</v>
      </c>
      <c r="J74" s="115"/>
    </row>
    <row r="75" spans="1:10" x14ac:dyDescent="0.3">
      <c r="A75" s="181" t="s">
        <v>1136</v>
      </c>
      <c r="B75" s="218" t="s">
        <v>1621</v>
      </c>
      <c r="C75" s="182" t="s">
        <v>93</v>
      </c>
      <c r="D75" s="182">
        <v>252.9</v>
      </c>
      <c r="E75" s="136">
        <f ca="1">OFFSET(INDEX(Composições!A:J,MATCH(A75,Composições!A:A,0),8),2,0)</f>
        <v>4.2142643</v>
      </c>
      <c r="F75" s="137">
        <f t="shared" ca="1" si="12"/>
        <v>1065.78744147</v>
      </c>
      <c r="G75" s="219">
        <f>BDI!$B$17</f>
        <v>0.191</v>
      </c>
      <c r="H75" s="138">
        <f t="shared" ca="1" si="13"/>
        <v>5.0199999999999996</v>
      </c>
      <c r="I75" s="137">
        <f t="shared" ca="1" si="14"/>
        <v>1269.56</v>
      </c>
      <c r="J75" s="115"/>
    </row>
    <row r="76" spans="1:10" x14ac:dyDescent="0.3">
      <c r="A76" s="181" t="s">
        <v>1140</v>
      </c>
      <c r="B76" s="218" t="s">
        <v>1622</v>
      </c>
      <c r="C76" s="182" t="s">
        <v>93</v>
      </c>
      <c r="D76" s="182">
        <v>106.21</v>
      </c>
      <c r="E76" s="136">
        <f ca="1">OFFSET(INDEX(Composições!A:J,MATCH(A76,Composições!A:A,0),8),2,0)</f>
        <v>43.525645953180984</v>
      </c>
      <c r="F76" s="137">
        <f t="shared" ca="1" si="12"/>
        <v>4622.8588566873523</v>
      </c>
      <c r="G76" s="219">
        <f>BDI!$B$17</f>
        <v>0.191</v>
      </c>
      <c r="H76" s="138">
        <f t="shared" ca="1" si="13"/>
        <v>51.84</v>
      </c>
      <c r="I76" s="137">
        <f t="shared" ca="1" si="14"/>
        <v>5505.93</v>
      </c>
      <c r="J76" s="115"/>
    </row>
    <row r="77" spans="1:10" x14ac:dyDescent="0.3">
      <c r="A77" s="181" t="s">
        <v>1142</v>
      </c>
      <c r="B77" s="218" t="s">
        <v>1623</v>
      </c>
      <c r="C77" s="182" t="s">
        <v>93</v>
      </c>
      <c r="D77" s="182">
        <v>50.1</v>
      </c>
      <c r="E77" s="136">
        <f ca="1">OFFSET(INDEX(Composições!A:J,MATCH(A77,Composições!A:A,0),8),2,0)</f>
        <v>102.87354212699999</v>
      </c>
      <c r="F77" s="137">
        <f t="shared" ca="1" si="12"/>
        <v>5153.9644605627</v>
      </c>
      <c r="G77" s="219">
        <f>BDI!$B$17</f>
        <v>0.191</v>
      </c>
      <c r="H77" s="138">
        <f t="shared" ca="1" si="13"/>
        <v>122.52</v>
      </c>
      <c r="I77" s="137">
        <f t="shared" ca="1" si="14"/>
        <v>6138.25</v>
      </c>
      <c r="J77" s="115"/>
    </row>
    <row r="78" spans="1:10" x14ac:dyDescent="0.3">
      <c r="A78" s="181" t="s">
        <v>1150</v>
      </c>
      <c r="B78" s="218" t="s">
        <v>1624</v>
      </c>
      <c r="C78" s="182" t="s">
        <v>1625</v>
      </c>
      <c r="D78" s="182">
        <v>12</v>
      </c>
      <c r="E78" s="136">
        <f ca="1">OFFSET(INDEX(Composições!A:J,MATCH(A78,Composições!A:A,0),8),2,0)</f>
        <v>497.25</v>
      </c>
      <c r="F78" s="137">
        <f t="shared" ca="1" si="12"/>
        <v>5967</v>
      </c>
      <c r="G78" s="219">
        <f>BDI!$B$17</f>
        <v>0.191</v>
      </c>
      <c r="H78" s="138">
        <f t="shared" ca="1" si="13"/>
        <v>592.22</v>
      </c>
      <c r="I78" s="137">
        <f t="shared" ca="1" si="14"/>
        <v>7106.64</v>
      </c>
      <c r="J78" s="115"/>
    </row>
    <row r="79" spans="1:10" x14ac:dyDescent="0.3">
      <c r="A79" s="181" t="s">
        <v>1164</v>
      </c>
      <c r="B79" s="218" t="s">
        <v>1626</v>
      </c>
      <c r="C79" s="182" t="s">
        <v>1625</v>
      </c>
      <c r="D79" s="182">
        <v>12</v>
      </c>
      <c r="E79" s="136">
        <f ca="1">OFFSET(INDEX(Composições!A:J,MATCH(A79,Composições!A:A,0),8),2,0)</f>
        <v>621.5625</v>
      </c>
      <c r="F79" s="137">
        <f t="shared" ca="1" si="12"/>
        <v>7458.75</v>
      </c>
      <c r="G79" s="219">
        <f>BDI!$B$17</f>
        <v>0.191</v>
      </c>
      <c r="H79" s="138">
        <f t="shared" ca="1" si="13"/>
        <v>740.28</v>
      </c>
      <c r="I79" s="137">
        <f t="shared" ca="1" si="14"/>
        <v>8883.36</v>
      </c>
      <c r="J79" s="115"/>
    </row>
    <row r="80" spans="1:10" x14ac:dyDescent="0.3">
      <c r="A80" s="181" t="s">
        <v>1166</v>
      </c>
      <c r="B80" s="218" t="s">
        <v>1627</v>
      </c>
      <c r="C80" s="182" t="s">
        <v>1625</v>
      </c>
      <c r="D80" s="182">
        <v>12</v>
      </c>
      <c r="E80" s="136">
        <f ca="1">OFFSET(INDEX(Composições!A:J,MATCH(A80,Composições!A:A,0),8),2,0)</f>
        <v>388.47549999999995</v>
      </c>
      <c r="F80" s="137">
        <f t="shared" ca="1" si="12"/>
        <v>4661.7059999999992</v>
      </c>
      <c r="G80" s="219">
        <f>BDI!$B$17</f>
        <v>0.191</v>
      </c>
      <c r="H80" s="138">
        <f t="shared" ca="1" si="13"/>
        <v>462.67</v>
      </c>
      <c r="I80" s="137">
        <f t="shared" ca="1" si="14"/>
        <v>5552.04</v>
      </c>
      <c r="J80" s="115"/>
    </row>
    <row r="81" spans="1:10" x14ac:dyDescent="0.3">
      <c r="A81" s="181" t="s">
        <v>1168</v>
      </c>
      <c r="B81" s="218" t="s">
        <v>1628</v>
      </c>
      <c r="C81" s="182" t="s">
        <v>95</v>
      </c>
      <c r="D81" s="182">
        <v>2</v>
      </c>
      <c r="E81" s="136">
        <f ca="1">OFFSET(INDEX(Composições!A:J,MATCH(A81,Composições!A:A,0),8),2,0)</f>
        <v>191.25</v>
      </c>
      <c r="F81" s="137">
        <f t="shared" ca="1" si="12"/>
        <v>382.5</v>
      </c>
      <c r="G81" s="219">
        <f>BDI!$B$17</f>
        <v>0.191</v>
      </c>
      <c r="H81" s="138">
        <f t="shared" ca="1" si="13"/>
        <v>227.78</v>
      </c>
      <c r="I81" s="137">
        <f t="shared" ca="1" si="14"/>
        <v>455.56</v>
      </c>
      <c r="J81" s="115"/>
    </row>
    <row r="82" spans="1:10" x14ac:dyDescent="0.3">
      <c r="A82" s="181" t="s">
        <v>1202</v>
      </c>
      <c r="B82" s="218" t="s">
        <v>1629</v>
      </c>
      <c r="C82" s="182" t="s">
        <v>110</v>
      </c>
      <c r="D82" s="182">
        <v>4</v>
      </c>
      <c r="E82" s="136">
        <f ca="1">OFFSET(INDEX(Composições!A:J,MATCH(A82,Composições!A:A,0),8),2,0)</f>
        <v>2728.87782908595</v>
      </c>
      <c r="F82" s="137">
        <f t="shared" ca="1" si="12"/>
        <v>10915.5113163438</v>
      </c>
      <c r="G82" s="219">
        <f>BDI!$B$17</f>
        <v>0.191</v>
      </c>
      <c r="H82" s="138">
        <f t="shared" ca="1" si="13"/>
        <v>3250.09</v>
      </c>
      <c r="I82" s="137">
        <f t="shared" ca="1" si="14"/>
        <v>13000.36</v>
      </c>
      <c r="J82" s="115"/>
    </row>
    <row r="83" spans="1:10" x14ac:dyDescent="0.3">
      <c r="A83" s="181" t="s">
        <v>1212</v>
      </c>
      <c r="B83" s="218" t="s">
        <v>1630</v>
      </c>
      <c r="C83" s="182" t="s">
        <v>93</v>
      </c>
      <c r="D83" s="182">
        <v>35</v>
      </c>
      <c r="E83" s="136">
        <f ca="1">OFFSET(INDEX(Composições!A:J,MATCH(A83,Composições!A:A,0),8),2,0)</f>
        <v>16.019644</v>
      </c>
      <c r="F83" s="137">
        <f t="shared" ca="1" si="12"/>
        <v>560.68754000000001</v>
      </c>
      <c r="G83" s="219">
        <f>BDI!$B$17</f>
        <v>0.191</v>
      </c>
      <c r="H83" s="138">
        <f t="shared" ca="1" si="13"/>
        <v>19.079999999999998</v>
      </c>
      <c r="I83" s="137">
        <f t="shared" ca="1" si="14"/>
        <v>667.8</v>
      </c>
      <c r="J83" s="115"/>
    </row>
    <row r="84" spans="1:10" x14ac:dyDescent="0.3">
      <c r="A84" s="181" t="s">
        <v>1216</v>
      </c>
      <c r="B84" s="218" t="s">
        <v>1631</v>
      </c>
      <c r="C84" s="182" t="s">
        <v>93</v>
      </c>
      <c r="D84" s="182">
        <v>6</v>
      </c>
      <c r="E84" s="136">
        <f ca="1">OFFSET(INDEX(Composições!A:J,MATCH(A84,Composições!A:A,0),8),2,0)</f>
        <v>102.49470000000001</v>
      </c>
      <c r="F84" s="137">
        <f t="shared" ca="1" si="12"/>
        <v>614.96820000000002</v>
      </c>
      <c r="G84" s="219">
        <f>BDI!$B$17</f>
        <v>0.191</v>
      </c>
      <c r="H84" s="138">
        <f t="shared" ca="1" si="13"/>
        <v>122.07</v>
      </c>
      <c r="I84" s="137">
        <f t="shared" ca="1" si="14"/>
        <v>732.42</v>
      </c>
      <c r="J84" s="115"/>
    </row>
    <row r="85" spans="1:10" x14ac:dyDescent="0.3">
      <c r="A85" s="181" t="s">
        <v>1224</v>
      </c>
      <c r="B85" s="218" t="s">
        <v>1632</v>
      </c>
      <c r="C85" s="182" t="s">
        <v>95</v>
      </c>
      <c r="D85" s="182">
        <v>45</v>
      </c>
      <c r="E85" s="136">
        <f ca="1">OFFSET(INDEX(Composições!A:J,MATCH(A85,Composições!A:A,0),8),2,0)</f>
        <v>22.984616249999998</v>
      </c>
      <c r="F85" s="137">
        <f t="shared" ca="1" si="12"/>
        <v>1034.30773125</v>
      </c>
      <c r="G85" s="219">
        <f>BDI!$B$17</f>
        <v>0.191</v>
      </c>
      <c r="H85" s="138">
        <f t="shared" ca="1" si="13"/>
        <v>27.37</v>
      </c>
      <c r="I85" s="137">
        <f t="shared" ca="1" si="14"/>
        <v>1231.6500000000001</v>
      </c>
      <c r="J85" s="115"/>
    </row>
    <row r="86" spans="1:10" x14ac:dyDescent="0.3">
      <c r="A86" s="181" t="s">
        <v>1231</v>
      </c>
      <c r="B86" s="218" t="s">
        <v>1633</v>
      </c>
      <c r="C86" s="182" t="s">
        <v>110</v>
      </c>
      <c r="D86" s="182">
        <v>30</v>
      </c>
      <c r="E86" s="136">
        <f ca="1">OFFSET(INDEX(Composições!A:J,MATCH(A86,Composições!A:A,0),8),2,0)</f>
        <v>184.91026862499999</v>
      </c>
      <c r="F86" s="137">
        <f t="shared" ca="1" si="12"/>
        <v>5547.3080587499999</v>
      </c>
      <c r="G86" s="219">
        <f>BDI!$B$17</f>
        <v>0.191</v>
      </c>
      <c r="H86" s="138">
        <f t="shared" ca="1" si="13"/>
        <v>220.23</v>
      </c>
      <c r="I86" s="137">
        <f t="shared" ca="1" si="14"/>
        <v>6606.9</v>
      </c>
      <c r="J86" s="115"/>
    </row>
    <row r="87" spans="1:10" x14ac:dyDescent="0.3">
      <c r="A87" s="181" t="s">
        <v>1324</v>
      </c>
      <c r="B87" s="218" t="s">
        <v>1634</v>
      </c>
      <c r="C87" s="182" t="s">
        <v>93</v>
      </c>
      <c r="D87" s="182">
        <v>373</v>
      </c>
      <c r="E87" s="136">
        <f ca="1">OFFSET(INDEX(Composições!A:J,MATCH(A87,Composições!A:A,0),8),2,0)</f>
        <v>9.1694918749999985</v>
      </c>
      <c r="F87" s="137">
        <f t="shared" ca="1" si="12"/>
        <v>3420.2204693749995</v>
      </c>
      <c r="G87" s="219">
        <f>BDI!$B$17</f>
        <v>0.191</v>
      </c>
      <c r="H87" s="138">
        <f t="shared" ca="1" si="13"/>
        <v>10.92</v>
      </c>
      <c r="I87" s="137">
        <f t="shared" ca="1" si="14"/>
        <v>4073.16</v>
      </c>
      <c r="J87" s="115"/>
    </row>
    <row r="88" spans="1:10" x14ac:dyDescent="0.3">
      <c r="A88" s="181" t="s">
        <v>1361</v>
      </c>
      <c r="B88" s="218" t="s">
        <v>1635</v>
      </c>
      <c r="C88" s="182" t="s">
        <v>95</v>
      </c>
      <c r="D88" s="182">
        <v>60</v>
      </c>
      <c r="E88" s="136">
        <f ca="1">OFFSET(INDEX(Composições!A:J,MATCH(A88,Composições!A:A,0),8),2,0)</f>
        <v>13.19775875</v>
      </c>
      <c r="F88" s="137">
        <f t="shared" ca="1" si="12"/>
        <v>791.86552500000005</v>
      </c>
      <c r="G88" s="219">
        <f>BDI!$B$17</f>
        <v>0.191</v>
      </c>
      <c r="H88" s="138">
        <f t="shared" ca="1" si="13"/>
        <v>15.72</v>
      </c>
      <c r="I88" s="137">
        <f t="shared" ca="1" si="14"/>
        <v>943.2</v>
      </c>
      <c r="J88" s="115"/>
    </row>
    <row r="89" spans="1:10" x14ac:dyDescent="0.3">
      <c r="A89" s="181" t="s">
        <v>1421</v>
      </c>
      <c r="B89" s="218" t="s">
        <v>1636</v>
      </c>
      <c r="C89" s="182" t="s">
        <v>95</v>
      </c>
      <c r="D89" s="182">
        <v>80.16</v>
      </c>
      <c r="E89" s="136">
        <f ca="1">OFFSET(INDEX(Composições!A:J,MATCH(A89,Composições!A:A,0),8),2,0)</f>
        <v>53.816520000000004</v>
      </c>
      <c r="F89" s="137">
        <f t="shared" ca="1" si="12"/>
        <v>4313.9322431999999</v>
      </c>
      <c r="G89" s="219">
        <f>BDI!$B$17</f>
        <v>0.191</v>
      </c>
      <c r="H89" s="138">
        <f t="shared" ca="1" si="13"/>
        <v>64.099999999999994</v>
      </c>
      <c r="I89" s="137">
        <f t="shared" ca="1" si="14"/>
        <v>5138.26</v>
      </c>
      <c r="J89" s="115"/>
    </row>
    <row r="90" spans="1:10" x14ac:dyDescent="0.3">
      <c r="A90" s="181" t="s">
        <v>1996</v>
      </c>
      <c r="B90" s="218" t="s">
        <v>2385</v>
      </c>
      <c r="C90" s="182" t="s">
        <v>93</v>
      </c>
      <c r="D90" s="182">
        <v>115</v>
      </c>
      <c r="E90" s="136">
        <f ca="1">OFFSET(INDEX(Composições!A:J,MATCH(A90,Composições!A:A,0),8),2,0)</f>
        <v>10.2480335</v>
      </c>
      <c r="F90" s="137">
        <f t="shared" ca="1" si="12"/>
        <v>1178.5238525</v>
      </c>
      <c r="G90" s="219">
        <f>BDI!$B$17</f>
        <v>0.191</v>
      </c>
      <c r="H90" s="138">
        <f t="shared" ca="1" si="13"/>
        <v>12.21</v>
      </c>
      <c r="I90" s="137">
        <f t="shared" ca="1" si="14"/>
        <v>1404.15</v>
      </c>
      <c r="J90" s="115"/>
    </row>
    <row r="91" spans="1:10" x14ac:dyDescent="0.3">
      <c r="A91" s="181" t="s">
        <v>1999</v>
      </c>
      <c r="B91" s="218" t="s">
        <v>2000</v>
      </c>
      <c r="C91" s="182" t="s">
        <v>93</v>
      </c>
      <c r="D91" s="182">
        <v>18</v>
      </c>
      <c r="E91" s="136">
        <f ca="1">OFFSET(INDEX(Composições!A:J,MATCH(A91,Composições!A:A,0),8),2,0)</f>
        <v>10.162770000000002</v>
      </c>
      <c r="F91" s="137">
        <f t="shared" ref="F91:F138" ca="1" si="15">IF(ISNUMBER(E91),D91*E91,"")</f>
        <v>182.92986000000002</v>
      </c>
      <c r="G91" s="219">
        <f>BDI!$B$17</f>
        <v>0.191</v>
      </c>
      <c r="H91" s="138">
        <f t="shared" ref="H91:H138" ca="1" si="16">IF(ISNUMBER(E91),ROUND(E91*(1+G91),2),"")</f>
        <v>12.1</v>
      </c>
      <c r="I91" s="137">
        <f t="shared" ref="I91:I138" ca="1" si="17">IF(ISNUMBER(E91),ROUND(H91*D91,2),"")</f>
        <v>217.8</v>
      </c>
      <c r="J91" s="115"/>
    </row>
    <row r="92" spans="1:10" x14ac:dyDescent="0.3">
      <c r="A92" s="181" t="s">
        <v>2001</v>
      </c>
      <c r="B92" s="218" t="s">
        <v>2002</v>
      </c>
      <c r="C92" s="182" t="s">
        <v>20</v>
      </c>
      <c r="D92" s="182">
        <v>5</v>
      </c>
      <c r="E92" s="136">
        <f ca="1">OFFSET(INDEX(Composições!A:J,MATCH(A92,Composições!A:A,0),8),2,0)</f>
        <v>722.05102094553808</v>
      </c>
      <c r="F92" s="137">
        <f t="shared" ca="1" si="15"/>
        <v>3610.2551047276902</v>
      </c>
      <c r="G92" s="219">
        <f>BDI!$B$17</f>
        <v>0.191</v>
      </c>
      <c r="H92" s="138">
        <f t="shared" ca="1" si="16"/>
        <v>859.96</v>
      </c>
      <c r="I92" s="137">
        <f t="shared" ca="1" si="17"/>
        <v>4299.8</v>
      </c>
      <c r="J92" s="115"/>
    </row>
    <row r="93" spans="1:10" x14ac:dyDescent="0.3">
      <c r="A93" s="181" t="s">
        <v>2071</v>
      </c>
      <c r="B93" s="218" t="s">
        <v>2103</v>
      </c>
      <c r="C93" s="182" t="s">
        <v>20</v>
      </c>
      <c r="D93" s="182">
        <v>40</v>
      </c>
      <c r="E93" s="136">
        <f ca="1">OFFSET(INDEX(Composições!A:J,MATCH(A93,Composições!A:A,0),8),2,0)</f>
        <v>447.96854669999999</v>
      </c>
      <c r="F93" s="137">
        <f t="shared" ca="1" si="15"/>
        <v>17918.741868000001</v>
      </c>
      <c r="G93" s="219">
        <f>BDI!$B$17</f>
        <v>0.191</v>
      </c>
      <c r="H93" s="138">
        <f t="shared" ca="1" si="16"/>
        <v>533.53</v>
      </c>
      <c r="I93" s="137">
        <f t="shared" ca="1" si="17"/>
        <v>21341.200000000001</v>
      </c>
      <c r="J93" s="115"/>
    </row>
    <row r="94" spans="1:10" x14ac:dyDescent="0.3">
      <c r="A94" s="181" t="s">
        <v>2072</v>
      </c>
      <c r="B94" s="218" t="s">
        <v>2104</v>
      </c>
      <c r="C94" s="182" t="s">
        <v>93</v>
      </c>
      <c r="D94" s="182">
        <v>220</v>
      </c>
      <c r="E94" s="136">
        <f ca="1">OFFSET(INDEX(Composições!A:J,MATCH(A94,Composições!A:A,0),8),2,0)</f>
        <v>17.395459199999998</v>
      </c>
      <c r="F94" s="137">
        <f t="shared" ca="1" si="15"/>
        <v>3827.0010239999997</v>
      </c>
      <c r="G94" s="219">
        <f>BDI!$B$17</f>
        <v>0.191</v>
      </c>
      <c r="H94" s="138">
        <f t="shared" ca="1" si="16"/>
        <v>20.72</v>
      </c>
      <c r="I94" s="137">
        <f t="shared" ca="1" si="17"/>
        <v>4558.3999999999996</v>
      </c>
      <c r="J94" s="115"/>
    </row>
    <row r="95" spans="1:10" x14ac:dyDescent="0.3">
      <c r="A95" s="181" t="s">
        <v>2073</v>
      </c>
      <c r="B95" s="218" t="s">
        <v>2105</v>
      </c>
      <c r="C95" s="182" t="s">
        <v>93</v>
      </c>
      <c r="D95" s="182">
        <v>2650</v>
      </c>
      <c r="E95" s="136">
        <f ca="1">OFFSET(INDEX(Composições!A:J,MATCH(A95,Composições!A:A,0),8),2,0)</f>
        <v>18.2445354</v>
      </c>
      <c r="F95" s="137">
        <f t="shared" ca="1" si="15"/>
        <v>48348.018810000001</v>
      </c>
      <c r="G95" s="219">
        <f>BDI!$B$17</f>
        <v>0.191</v>
      </c>
      <c r="H95" s="138">
        <f t="shared" ca="1" si="16"/>
        <v>21.73</v>
      </c>
      <c r="I95" s="137">
        <f t="shared" ca="1" si="17"/>
        <v>57584.5</v>
      </c>
      <c r="J95" s="115"/>
    </row>
    <row r="96" spans="1:10" x14ac:dyDescent="0.3">
      <c r="A96" s="181" t="s">
        <v>2074</v>
      </c>
      <c r="B96" s="218" t="s">
        <v>2106</v>
      </c>
      <c r="C96" s="182" t="s">
        <v>93</v>
      </c>
      <c r="D96" s="182">
        <v>75</v>
      </c>
      <c r="E96" s="136">
        <f ca="1">OFFSET(INDEX(Composições!A:J,MATCH(A96,Composições!A:A,0),8),2,0)</f>
        <v>18.7814592</v>
      </c>
      <c r="F96" s="137">
        <f t="shared" ca="1" si="15"/>
        <v>1408.6094399999999</v>
      </c>
      <c r="G96" s="219">
        <f>BDI!$B$17</f>
        <v>0.191</v>
      </c>
      <c r="H96" s="138">
        <f t="shared" ca="1" si="16"/>
        <v>22.37</v>
      </c>
      <c r="I96" s="137">
        <f t="shared" ca="1" si="17"/>
        <v>1677.75</v>
      </c>
      <c r="J96" s="115"/>
    </row>
    <row r="97" spans="1:10" x14ac:dyDescent="0.3">
      <c r="A97" s="181" t="s">
        <v>2075</v>
      </c>
      <c r="B97" s="218" t="s">
        <v>2107</v>
      </c>
      <c r="C97" s="182" t="s">
        <v>93</v>
      </c>
      <c r="D97" s="182">
        <v>110</v>
      </c>
      <c r="E97" s="136">
        <f ca="1">OFFSET(INDEX(Composições!A:J,MATCH(A97,Composições!A:A,0),8),2,0)</f>
        <v>45.199459200000007</v>
      </c>
      <c r="F97" s="137">
        <f t="shared" ca="1" si="15"/>
        <v>4971.940512000001</v>
      </c>
      <c r="G97" s="219">
        <f>BDI!$B$17</f>
        <v>0.191</v>
      </c>
      <c r="H97" s="138">
        <f t="shared" ca="1" si="16"/>
        <v>53.83</v>
      </c>
      <c r="I97" s="137">
        <f t="shared" ca="1" si="17"/>
        <v>5921.3</v>
      </c>
      <c r="J97" s="115"/>
    </row>
    <row r="98" spans="1:10" x14ac:dyDescent="0.3">
      <c r="A98" s="181" t="s">
        <v>2076</v>
      </c>
      <c r="B98" s="218" t="s">
        <v>2108</v>
      </c>
      <c r="C98" s="182" t="s">
        <v>20</v>
      </c>
      <c r="D98" s="182">
        <v>53</v>
      </c>
      <c r="E98" s="136">
        <f ca="1">OFFSET(INDEX(Composições!A:J,MATCH(A98,Composições!A:A,0),8),2,0)</f>
        <v>47.156609400000001</v>
      </c>
      <c r="F98" s="137">
        <f t="shared" ca="1" si="15"/>
        <v>2499.3002981999998</v>
      </c>
      <c r="G98" s="219">
        <f>BDI!$B$17</f>
        <v>0.191</v>
      </c>
      <c r="H98" s="138">
        <f t="shared" ca="1" si="16"/>
        <v>56.16</v>
      </c>
      <c r="I98" s="137">
        <f t="shared" ca="1" si="17"/>
        <v>2976.48</v>
      </c>
      <c r="J98" s="115"/>
    </row>
    <row r="99" spans="1:10" x14ac:dyDescent="0.3">
      <c r="A99" s="181" t="s">
        <v>2077</v>
      </c>
      <c r="B99" s="218" t="s">
        <v>2109</v>
      </c>
      <c r="C99" s="182" t="s">
        <v>93</v>
      </c>
      <c r="D99" s="182">
        <v>290</v>
      </c>
      <c r="E99" s="136">
        <f ca="1">OFFSET(INDEX(Composições!A:J,MATCH(A99,Composições!A:A,0),8),2,0)</f>
        <v>245.22445599999995</v>
      </c>
      <c r="F99" s="137">
        <f t="shared" ca="1" si="15"/>
        <v>71115.092239999984</v>
      </c>
      <c r="G99" s="219">
        <f>BDI!$B$17</f>
        <v>0.191</v>
      </c>
      <c r="H99" s="138">
        <f t="shared" ca="1" si="16"/>
        <v>292.06</v>
      </c>
      <c r="I99" s="137">
        <f t="shared" ca="1" si="17"/>
        <v>84697.4</v>
      </c>
      <c r="J99" s="115"/>
    </row>
    <row r="100" spans="1:10" x14ac:dyDescent="0.3">
      <c r="A100" s="181" t="s">
        <v>2078</v>
      </c>
      <c r="B100" s="218" t="s">
        <v>2110</v>
      </c>
      <c r="C100" s="182" t="s">
        <v>93</v>
      </c>
      <c r="D100" s="182">
        <v>2800</v>
      </c>
      <c r="E100" s="136">
        <f ca="1">OFFSET(INDEX(Composições!A:J,MATCH(A100,Composições!A:A,0),8),2,0)</f>
        <v>355.47704599999992</v>
      </c>
      <c r="F100" s="137">
        <f t="shared" ca="1" si="15"/>
        <v>995335.72879999981</v>
      </c>
      <c r="G100" s="219">
        <f>BDI!$B$17</f>
        <v>0.191</v>
      </c>
      <c r="H100" s="138">
        <f t="shared" ca="1" si="16"/>
        <v>423.37</v>
      </c>
      <c r="I100" s="137">
        <f t="shared" ca="1" si="17"/>
        <v>1185436</v>
      </c>
      <c r="J100" s="115"/>
    </row>
    <row r="101" spans="1:10" x14ac:dyDescent="0.3">
      <c r="A101" s="181" t="s">
        <v>2079</v>
      </c>
      <c r="B101" s="218" t="s">
        <v>2111</v>
      </c>
      <c r="C101" s="182" t="s">
        <v>20</v>
      </c>
      <c r="D101" s="182">
        <v>12</v>
      </c>
      <c r="E101" s="136">
        <f ca="1">OFFSET(INDEX(Composições!A:J,MATCH(A101,Composições!A:A,0),8),2,0)</f>
        <v>355.44499999999999</v>
      </c>
      <c r="F101" s="137">
        <f t="shared" ca="1" si="15"/>
        <v>4265.34</v>
      </c>
      <c r="G101" s="219">
        <f>BDI!$B$17</f>
        <v>0.191</v>
      </c>
      <c r="H101" s="138">
        <f t="shared" ca="1" si="16"/>
        <v>423.33</v>
      </c>
      <c r="I101" s="137">
        <f t="shared" ca="1" si="17"/>
        <v>5079.96</v>
      </c>
      <c r="J101" s="115"/>
    </row>
    <row r="102" spans="1:10" x14ac:dyDescent="0.3">
      <c r="A102" s="181" t="s">
        <v>2080</v>
      </c>
      <c r="B102" s="218" t="s">
        <v>2112</v>
      </c>
      <c r="C102" s="182" t="s">
        <v>93</v>
      </c>
      <c r="D102" s="182">
        <v>210</v>
      </c>
      <c r="E102" s="136">
        <f ca="1">OFFSET(INDEX(Composições!A:J,MATCH(A102,Composições!A:A,0),8),2,0)</f>
        <v>43.224370000000008</v>
      </c>
      <c r="F102" s="137">
        <f t="shared" ca="1" si="15"/>
        <v>9077.1177000000007</v>
      </c>
      <c r="G102" s="219">
        <f>BDI!$B$17</f>
        <v>0.191</v>
      </c>
      <c r="H102" s="138">
        <f t="shared" ca="1" si="16"/>
        <v>51.48</v>
      </c>
      <c r="I102" s="137">
        <f t="shared" ca="1" si="17"/>
        <v>10810.8</v>
      </c>
      <c r="J102" s="115"/>
    </row>
    <row r="103" spans="1:10" x14ac:dyDescent="0.3">
      <c r="A103" s="181" t="s">
        <v>2082</v>
      </c>
      <c r="B103" s="218" t="s">
        <v>2114</v>
      </c>
      <c r="C103" s="182" t="s">
        <v>20</v>
      </c>
      <c r="D103" s="182">
        <v>4</v>
      </c>
      <c r="E103" s="136">
        <f ca="1">OFFSET(INDEX(Composições!A:J,MATCH(A103,Composições!A:A,0),8),2,0)</f>
        <v>26.762099999999997</v>
      </c>
      <c r="F103" s="137">
        <f t="shared" ca="1" si="15"/>
        <v>107.04839999999999</v>
      </c>
      <c r="G103" s="219">
        <f>BDI!$B$17</f>
        <v>0.191</v>
      </c>
      <c r="H103" s="138">
        <f t="shared" ca="1" si="16"/>
        <v>31.87</v>
      </c>
      <c r="I103" s="137">
        <f t="shared" ca="1" si="17"/>
        <v>127.48</v>
      </c>
      <c r="J103" s="115"/>
    </row>
    <row r="104" spans="1:10" x14ac:dyDescent="0.3">
      <c r="A104" s="181" t="s">
        <v>2083</v>
      </c>
      <c r="B104" s="218" t="s">
        <v>2115</v>
      </c>
      <c r="C104" s="182" t="s">
        <v>93</v>
      </c>
      <c r="D104" s="182">
        <v>550</v>
      </c>
      <c r="E104" s="136">
        <f ca="1">OFFSET(INDEX(Composições!A:J,MATCH(A104,Composições!A:A,0),8),2,0)</f>
        <v>199.77089999999998</v>
      </c>
      <c r="F104" s="137">
        <f t="shared" ca="1" si="15"/>
        <v>109873.995</v>
      </c>
      <c r="G104" s="219">
        <f>BDI!$B$17</f>
        <v>0.191</v>
      </c>
      <c r="H104" s="138">
        <f t="shared" ca="1" si="16"/>
        <v>237.93</v>
      </c>
      <c r="I104" s="137">
        <f t="shared" ca="1" si="17"/>
        <v>130861.5</v>
      </c>
      <c r="J104" s="115"/>
    </row>
    <row r="105" spans="1:10" x14ac:dyDescent="0.3">
      <c r="A105" s="181" t="s">
        <v>2084</v>
      </c>
      <c r="B105" s="218" t="s">
        <v>2116</v>
      </c>
      <c r="C105" s="182" t="s">
        <v>93</v>
      </c>
      <c r="D105" s="182">
        <v>160</v>
      </c>
      <c r="E105" s="136">
        <f ca="1">OFFSET(INDEX(Composições!A:J,MATCH(A105,Composições!A:A,0),8),2,0)</f>
        <v>228.78030000000004</v>
      </c>
      <c r="F105" s="137">
        <f t="shared" ca="1" si="15"/>
        <v>36604.848000000005</v>
      </c>
      <c r="G105" s="219">
        <f>BDI!$B$17</f>
        <v>0.191</v>
      </c>
      <c r="H105" s="138">
        <f t="shared" ca="1" si="16"/>
        <v>272.48</v>
      </c>
      <c r="I105" s="137">
        <f t="shared" ca="1" si="17"/>
        <v>43596.800000000003</v>
      </c>
      <c r="J105" s="115"/>
    </row>
    <row r="106" spans="1:10" x14ac:dyDescent="0.3">
      <c r="A106" s="181" t="s">
        <v>2085</v>
      </c>
      <c r="B106" s="218" t="s">
        <v>2117</v>
      </c>
      <c r="C106" s="182" t="s">
        <v>20</v>
      </c>
      <c r="D106" s="182">
        <v>52</v>
      </c>
      <c r="E106" s="136">
        <f ca="1">OFFSET(INDEX(Composições!A:J,MATCH(A106,Composições!A:A,0),8),2,0)</f>
        <v>219.85992229999999</v>
      </c>
      <c r="F106" s="137">
        <f t="shared" ca="1" si="15"/>
        <v>11432.7159596</v>
      </c>
      <c r="G106" s="219">
        <f>BDI!$B$17</f>
        <v>0.191</v>
      </c>
      <c r="H106" s="138">
        <f t="shared" ca="1" si="16"/>
        <v>261.85000000000002</v>
      </c>
      <c r="I106" s="137">
        <f t="shared" ca="1" si="17"/>
        <v>13616.2</v>
      </c>
      <c r="J106" s="115"/>
    </row>
    <row r="107" spans="1:10" x14ac:dyDescent="0.3">
      <c r="A107" s="181" t="s">
        <v>2086</v>
      </c>
      <c r="B107" s="218" t="s">
        <v>2118</v>
      </c>
      <c r="C107" s="182" t="s">
        <v>20</v>
      </c>
      <c r="D107" s="182">
        <v>2</v>
      </c>
      <c r="E107" s="136">
        <f ca="1">OFFSET(INDEX(Composições!A:J,MATCH(A107,Composições!A:A,0),8),2,0)</f>
        <v>409.99402179999998</v>
      </c>
      <c r="F107" s="137">
        <f t="shared" ca="1" si="15"/>
        <v>819.98804359999997</v>
      </c>
      <c r="G107" s="219">
        <f>BDI!$B$17</f>
        <v>0.191</v>
      </c>
      <c r="H107" s="138">
        <f t="shared" ca="1" si="16"/>
        <v>488.3</v>
      </c>
      <c r="I107" s="137">
        <f t="shared" ca="1" si="17"/>
        <v>976.6</v>
      </c>
      <c r="J107" s="115"/>
    </row>
    <row r="108" spans="1:10" x14ac:dyDescent="0.3">
      <c r="A108" s="181" t="s">
        <v>2087</v>
      </c>
      <c r="B108" s="218" t="s">
        <v>2119</v>
      </c>
      <c r="C108" s="182" t="s">
        <v>20</v>
      </c>
      <c r="D108" s="182">
        <v>8</v>
      </c>
      <c r="E108" s="136">
        <f ca="1">OFFSET(INDEX(Composições!A:J,MATCH(A108,Composições!A:A,0),8),2,0)</f>
        <v>531.64602180000009</v>
      </c>
      <c r="F108" s="137">
        <f t="shared" ca="1" si="15"/>
        <v>4253.1681744000007</v>
      </c>
      <c r="G108" s="219">
        <f>BDI!$B$17</f>
        <v>0.191</v>
      </c>
      <c r="H108" s="138">
        <f t="shared" ca="1" si="16"/>
        <v>633.19000000000005</v>
      </c>
      <c r="I108" s="137">
        <f t="shared" ca="1" si="17"/>
        <v>5065.5200000000004</v>
      </c>
      <c r="J108" s="115"/>
    </row>
    <row r="109" spans="1:10" x14ac:dyDescent="0.3">
      <c r="A109" s="181" t="s">
        <v>2093</v>
      </c>
      <c r="B109" s="218" t="s">
        <v>2125</v>
      </c>
      <c r="C109" s="182" t="s">
        <v>20</v>
      </c>
      <c r="D109" s="182">
        <v>8</v>
      </c>
      <c r="E109" s="136">
        <f ca="1">OFFSET(INDEX(Composições!A:J,MATCH(A109,Composições!A:A,0),8),2,0)</f>
        <v>1925.0656435000001</v>
      </c>
      <c r="F109" s="137">
        <f t="shared" ca="1" si="15"/>
        <v>15400.525148000001</v>
      </c>
      <c r="G109" s="219">
        <f>BDI!$B$17</f>
        <v>0.191</v>
      </c>
      <c r="H109" s="138">
        <f t="shared" ca="1" si="16"/>
        <v>2292.75</v>
      </c>
      <c r="I109" s="137">
        <f t="shared" ca="1" si="17"/>
        <v>18342</v>
      </c>
      <c r="J109" s="115"/>
    </row>
    <row r="110" spans="1:10" x14ac:dyDescent="0.3">
      <c r="A110" s="181" t="s">
        <v>2094</v>
      </c>
      <c r="B110" s="218" t="s">
        <v>2126</v>
      </c>
      <c r="C110" s="182" t="s">
        <v>20</v>
      </c>
      <c r="D110" s="182">
        <v>9</v>
      </c>
      <c r="E110" s="136">
        <f ca="1">OFFSET(INDEX(Composições!A:J,MATCH(A110,Composições!A:A,0),8),2,0)</f>
        <v>209.82356034161762</v>
      </c>
      <c r="F110" s="137">
        <f t="shared" ca="1" si="15"/>
        <v>1888.4120430745586</v>
      </c>
      <c r="G110" s="219">
        <f>BDI!$B$17</f>
        <v>0.191</v>
      </c>
      <c r="H110" s="138">
        <f t="shared" ca="1" si="16"/>
        <v>249.9</v>
      </c>
      <c r="I110" s="137">
        <f t="shared" ca="1" si="17"/>
        <v>2249.1</v>
      </c>
      <c r="J110" s="115"/>
    </row>
    <row r="111" spans="1:10" x14ac:dyDescent="0.3">
      <c r="A111" s="181" t="s">
        <v>2097</v>
      </c>
      <c r="B111" s="218" t="s">
        <v>2129</v>
      </c>
      <c r="C111" s="182" t="s">
        <v>20</v>
      </c>
      <c r="D111" s="182">
        <v>3</v>
      </c>
      <c r="E111" s="136">
        <f ca="1">OFFSET(INDEX(Composições!A:J,MATCH(A111,Composições!A:A,0),8),2,0)</f>
        <v>559.21698357019409</v>
      </c>
      <c r="F111" s="137">
        <f t="shared" ca="1" si="15"/>
        <v>1677.6509507105823</v>
      </c>
      <c r="G111" s="219">
        <f>BDI!$B$17</f>
        <v>0.191</v>
      </c>
      <c r="H111" s="138">
        <f t="shared" ca="1" si="16"/>
        <v>666.03</v>
      </c>
      <c r="I111" s="137">
        <f t="shared" ca="1" si="17"/>
        <v>1998.09</v>
      </c>
      <c r="J111" s="115"/>
    </row>
    <row r="112" spans="1:10" x14ac:dyDescent="0.3">
      <c r="A112" s="181" t="s">
        <v>2099</v>
      </c>
      <c r="B112" s="218" t="s">
        <v>2131</v>
      </c>
      <c r="C112" s="182" t="s">
        <v>20</v>
      </c>
      <c r="D112" s="182">
        <v>32</v>
      </c>
      <c r="E112" s="136">
        <f ca="1">OFFSET(INDEX(Composições!A:J,MATCH(A112,Composições!A:A,0),8),2,0)</f>
        <v>269.74700000000001</v>
      </c>
      <c r="F112" s="137">
        <f t="shared" ca="1" si="15"/>
        <v>8631.9040000000005</v>
      </c>
      <c r="G112" s="219">
        <f>BDI!$B$17</f>
        <v>0.191</v>
      </c>
      <c r="H112" s="138">
        <f t="shared" ca="1" si="16"/>
        <v>321.27</v>
      </c>
      <c r="I112" s="137">
        <f t="shared" ca="1" si="17"/>
        <v>10280.64</v>
      </c>
      <c r="J112" s="115"/>
    </row>
    <row r="113" spans="1:10" x14ac:dyDescent="0.3">
      <c r="A113" s="181" t="s">
        <v>2100</v>
      </c>
      <c r="B113" s="218" t="s">
        <v>2132</v>
      </c>
      <c r="C113" s="182" t="s">
        <v>20</v>
      </c>
      <c r="D113" s="182">
        <v>32</v>
      </c>
      <c r="E113" s="136">
        <f ca="1">OFFSET(INDEX(Composições!A:J,MATCH(A113,Composições!A:A,0),8),2,0)</f>
        <v>297.10699999999997</v>
      </c>
      <c r="F113" s="137">
        <f t="shared" ca="1" si="15"/>
        <v>9507.4239999999991</v>
      </c>
      <c r="G113" s="219">
        <f>BDI!$B$17</f>
        <v>0.191</v>
      </c>
      <c r="H113" s="138">
        <f t="shared" ca="1" si="16"/>
        <v>353.85</v>
      </c>
      <c r="I113" s="137">
        <f t="shared" ca="1" si="17"/>
        <v>11323.2</v>
      </c>
      <c r="J113" s="115"/>
    </row>
    <row r="114" spans="1:10" x14ac:dyDescent="0.3">
      <c r="A114" s="181" t="s">
        <v>2101</v>
      </c>
      <c r="B114" s="218" t="s">
        <v>2133</v>
      </c>
      <c r="C114" s="182" t="s">
        <v>20</v>
      </c>
      <c r="D114" s="182">
        <v>12</v>
      </c>
      <c r="E114" s="136">
        <f ca="1">OFFSET(INDEX(Composições!A:J,MATCH(A114,Composições!A:A,0),8),2,0)</f>
        <v>29.475511999999998</v>
      </c>
      <c r="F114" s="137">
        <f t="shared" ca="1" si="15"/>
        <v>353.70614399999999</v>
      </c>
      <c r="G114" s="219">
        <f>BDI!$B$17</f>
        <v>0.191</v>
      </c>
      <c r="H114" s="138">
        <f t="shared" ca="1" si="16"/>
        <v>35.11</v>
      </c>
      <c r="I114" s="137">
        <f t="shared" ca="1" si="17"/>
        <v>421.32</v>
      </c>
      <c r="J114" s="115"/>
    </row>
    <row r="115" spans="1:10" x14ac:dyDescent="0.3">
      <c r="A115" s="181" t="s">
        <v>2172</v>
      </c>
      <c r="B115" s="218" t="s">
        <v>2135</v>
      </c>
      <c r="C115" s="182" t="s">
        <v>93</v>
      </c>
      <c r="D115" s="182">
        <v>750</v>
      </c>
      <c r="E115" s="136">
        <f ca="1">OFFSET(INDEX(Composições!A:J,MATCH(A115,Composições!A:A,0),8),2,0)</f>
        <v>36.233551800000001</v>
      </c>
      <c r="F115" s="137">
        <f t="shared" ca="1" si="15"/>
        <v>27175.163850000001</v>
      </c>
      <c r="G115" s="219">
        <f>BDI!$B$17</f>
        <v>0.191</v>
      </c>
      <c r="H115" s="138">
        <f t="shared" ca="1" si="16"/>
        <v>43.15</v>
      </c>
      <c r="I115" s="137">
        <f t="shared" ca="1" si="17"/>
        <v>32362.5</v>
      </c>
      <c r="J115" s="115"/>
    </row>
    <row r="116" spans="1:10" x14ac:dyDescent="0.3">
      <c r="A116" s="181" t="s">
        <v>2174</v>
      </c>
      <c r="B116" s="218" t="s">
        <v>2137</v>
      </c>
      <c r="C116" s="182" t="s">
        <v>20</v>
      </c>
      <c r="D116" s="182">
        <v>30</v>
      </c>
      <c r="E116" s="136">
        <f ca="1">OFFSET(INDEX(Composições!A:J,MATCH(A116,Composições!A:A,0),8),2,0)</f>
        <v>233.29173699999998</v>
      </c>
      <c r="F116" s="137">
        <f t="shared" ca="1" si="15"/>
        <v>6998.7521099999994</v>
      </c>
      <c r="G116" s="219">
        <f>BDI!$B$17</f>
        <v>0.191</v>
      </c>
      <c r="H116" s="138">
        <f t="shared" ca="1" si="16"/>
        <v>277.85000000000002</v>
      </c>
      <c r="I116" s="137">
        <f t="shared" ca="1" si="17"/>
        <v>8335.5</v>
      </c>
      <c r="J116" s="115"/>
    </row>
    <row r="117" spans="1:10" x14ac:dyDescent="0.3">
      <c r="A117" s="181" t="s">
        <v>2175</v>
      </c>
      <c r="B117" s="218" t="s">
        <v>2138</v>
      </c>
      <c r="C117" s="182" t="s">
        <v>93</v>
      </c>
      <c r="D117" s="182">
        <v>85</v>
      </c>
      <c r="E117" s="136">
        <f ca="1">OFFSET(INDEX(Composições!A:J,MATCH(A117,Composições!A:A,0),8),2,0)</f>
        <v>255.96900000000002</v>
      </c>
      <c r="F117" s="137">
        <f t="shared" ca="1" si="15"/>
        <v>21757.365000000002</v>
      </c>
      <c r="G117" s="219">
        <f>BDI!$B$17</f>
        <v>0.191</v>
      </c>
      <c r="H117" s="138">
        <f t="shared" ca="1" si="16"/>
        <v>304.86</v>
      </c>
      <c r="I117" s="137">
        <f t="shared" ca="1" si="17"/>
        <v>25913.1</v>
      </c>
      <c r="J117" s="115"/>
    </row>
    <row r="118" spans="1:10" x14ac:dyDescent="0.3">
      <c r="A118" s="181" t="s">
        <v>2176</v>
      </c>
      <c r="B118" s="218" t="s">
        <v>2139</v>
      </c>
      <c r="C118" s="182" t="s">
        <v>1534</v>
      </c>
      <c r="D118" s="182">
        <v>800</v>
      </c>
      <c r="E118" s="136">
        <f ca="1">OFFSET(INDEX(Composições!A:J,MATCH(A118,Composições!A:A,0),8),2,0)</f>
        <v>93.763499999999993</v>
      </c>
      <c r="F118" s="137">
        <f t="shared" ca="1" si="15"/>
        <v>75010.799999999988</v>
      </c>
      <c r="G118" s="219">
        <f>BDI!$B$17</f>
        <v>0.191</v>
      </c>
      <c r="H118" s="138">
        <f t="shared" ca="1" si="16"/>
        <v>111.67</v>
      </c>
      <c r="I118" s="137">
        <f t="shared" ca="1" si="17"/>
        <v>89336</v>
      </c>
      <c r="J118" s="115"/>
    </row>
    <row r="119" spans="1:10" x14ac:dyDescent="0.3">
      <c r="A119" s="181" t="s">
        <v>2178</v>
      </c>
      <c r="B119" s="218" t="s">
        <v>2141</v>
      </c>
      <c r="C119" s="182" t="s">
        <v>20</v>
      </c>
      <c r="D119" s="182">
        <v>230</v>
      </c>
      <c r="E119" s="136">
        <f ca="1">OFFSET(INDEX(Composições!A:J,MATCH(A119,Composições!A:A,0),8),2,0)</f>
        <v>104.63482810000001</v>
      </c>
      <c r="F119" s="137">
        <f t="shared" ca="1" si="15"/>
        <v>24066.010463000002</v>
      </c>
      <c r="G119" s="219">
        <f>BDI!$B$17</f>
        <v>0.191</v>
      </c>
      <c r="H119" s="138">
        <f t="shared" ca="1" si="16"/>
        <v>124.62</v>
      </c>
      <c r="I119" s="137">
        <f t="shared" ca="1" si="17"/>
        <v>28662.6</v>
      </c>
      <c r="J119" s="115"/>
    </row>
    <row r="120" spans="1:10" x14ac:dyDescent="0.3">
      <c r="A120" s="181" t="s">
        <v>2183</v>
      </c>
      <c r="B120" s="218" t="s">
        <v>2146</v>
      </c>
      <c r="C120" s="182" t="s">
        <v>20</v>
      </c>
      <c r="D120" s="182">
        <v>1</v>
      </c>
      <c r="E120" s="196">
        <v>6945.91</v>
      </c>
      <c r="F120" s="137">
        <f t="shared" si="15"/>
        <v>6945.91</v>
      </c>
      <c r="G120" s="219">
        <v>0</v>
      </c>
      <c r="H120" s="138">
        <f t="shared" si="16"/>
        <v>6945.91</v>
      </c>
      <c r="I120" s="137">
        <f t="shared" si="17"/>
        <v>6945.91</v>
      </c>
      <c r="J120" s="115"/>
    </row>
    <row r="121" spans="1:10" x14ac:dyDescent="0.3">
      <c r="A121" s="181" t="s">
        <v>2184</v>
      </c>
      <c r="B121" s="218" t="s">
        <v>2147</v>
      </c>
      <c r="C121" s="182" t="s">
        <v>20</v>
      </c>
      <c r="D121" s="182">
        <v>1</v>
      </c>
      <c r="E121" s="196">
        <v>89759.02</v>
      </c>
      <c r="F121" s="137">
        <f t="shared" si="15"/>
        <v>89759.02</v>
      </c>
      <c r="G121" s="219">
        <v>0</v>
      </c>
      <c r="H121" s="138">
        <f t="shared" si="16"/>
        <v>89759.02</v>
      </c>
      <c r="I121" s="137">
        <f t="shared" si="17"/>
        <v>89759.02</v>
      </c>
      <c r="J121" s="115"/>
    </row>
    <row r="122" spans="1:10" x14ac:dyDescent="0.3">
      <c r="A122" s="181" t="s">
        <v>2185</v>
      </c>
      <c r="B122" s="218" t="s">
        <v>2148</v>
      </c>
      <c r="C122" s="182" t="s">
        <v>20</v>
      </c>
      <c r="D122" s="182">
        <v>1</v>
      </c>
      <c r="E122" s="196">
        <v>103788</v>
      </c>
      <c r="F122" s="137">
        <f t="shared" si="15"/>
        <v>103788</v>
      </c>
      <c r="G122" s="219">
        <v>0</v>
      </c>
      <c r="H122" s="138">
        <f t="shared" si="16"/>
        <v>103788</v>
      </c>
      <c r="I122" s="137">
        <f t="shared" si="17"/>
        <v>103788</v>
      </c>
      <c r="J122" s="115"/>
    </row>
    <row r="123" spans="1:10" x14ac:dyDescent="0.3">
      <c r="A123" s="181" t="s">
        <v>2186</v>
      </c>
      <c r="B123" s="218" t="s">
        <v>2149</v>
      </c>
      <c r="C123" s="182" t="s">
        <v>20</v>
      </c>
      <c r="D123" s="182">
        <v>3</v>
      </c>
      <c r="E123" s="196">
        <v>26431.33</v>
      </c>
      <c r="F123" s="137">
        <f t="shared" si="15"/>
        <v>79293.990000000005</v>
      </c>
      <c r="G123" s="219">
        <v>0</v>
      </c>
      <c r="H123" s="138">
        <f t="shared" si="16"/>
        <v>26431.33</v>
      </c>
      <c r="I123" s="137">
        <f t="shared" si="17"/>
        <v>79293.990000000005</v>
      </c>
      <c r="J123" s="115"/>
    </row>
    <row r="124" spans="1:10" x14ac:dyDescent="0.3">
      <c r="A124" s="181" t="s">
        <v>2335</v>
      </c>
      <c r="B124" s="218" t="s">
        <v>2156</v>
      </c>
      <c r="C124" s="182" t="s">
        <v>20</v>
      </c>
      <c r="D124" s="182">
        <v>8</v>
      </c>
      <c r="E124" s="136">
        <f ca="1">OFFSET(INDEX(Composições!A:J,MATCH(A124,Composições!A:A,0),8),2,0)</f>
        <v>529.54944620000003</v>
      </c>
      <c r="F124" s="137">
        <f t="shared" ca="1" si="15"/>
        <v>4236.3955696000003</v>
      </c>
      <c r="G124" s="219">
        <f>BDI!$B$17</f>
        <v>0.191</v>
      </c>
      <c r="H124" s="138">
        <f t="shared" ca="1" si="16"/>
        <v>630.69000000000005</v>
      </c>
      <c r="I124" s="137">
        <f t="shared" ca="1" si="17"/>
        <v>5045.5200000000004</v>
      </c>
      <c r="J124" s="115"/>
    </row>
    <row r="125" spans="1:10" x14ac:dyDescent="0.3">
      <c r="A125" s="181" t="s">
        <v>2336</v>
      </c>
      <c r="B125" s="218" t="s">
        <v>2157</v>
      </c>
      <c r="C125" s="182" t="s">
        <v>110</v>
      </c>
      <c r="D125" s="182">
        <v>125</v>
      </c>
      <c r="E125" s="136">
        <f ca="1">OFFSET(INDEX(Composições!A:J,MATCH(A125,Composições!A:A,0),8),2,0)</f>
        <v>340.78533199999998</v>
      </c>
      <c r="F125" s="137">
        <f t="shared" ca="1" si="15"/>
        <v>42598.166499999999</v>
      </c>
      <c r="G125" s="219">
        <f>BDI!$B$17</f>
        <v>0.191</v>
      </c>
      <c r="H125" s="138">
        <f t="shared" ca="1" si="16"/>
        <v>405.88</v>
      </c>
      <c r="I125" s="137">
        <f t="shared" ca="1" si="17"/>
        <v>50735</v>
      </c>
      <c r="J125" s="115"/>
    </row>
    <row r="126" spans="1:10" x14ac:dyDescent="0.3">
      <c r="A126" s="181" t="s">
        <v>2337</v>
      </c>
      <c r="B126" s="218" t="s">
        <v>2158</v>
      </c>
      <c r="C126" s="182" t="s">
        <v>93</v>
      </c>
      <c r="D126" s="182">
        <v>495</v>
      </c>
      <c r="E126" s="136">
        <f ca="1">OFFSET(INDEX(Composições!A:J,MATCH(A126,Composições!A:A,0),8),2,0)</f>
        <v>75.068153179820001</v>
      </c>
      <c r="F126" s="137">
        <f t="shared" ca="1" si="15"/>
        <v>37158.735824010902</v>
      </c>
      <c r="G126" s="219">
        <f>BDI!$B$17</f>
        <v>0.191</v>
      </c>
      <c r="H126" s="138">
        <f t="shared" ca="1" si="16"/>
        <v>89.41</v>
      </c>
      <c r="I126" s="137">
        <f t="shared" ca="1" si="17"/>
        <v>44257.95</v>
      </c>
      <c r="J126" s="115"/>
    </row>
    <row r="127" spans="1:10" x14ac:dyDescent="0.3">
      <c r="A127" s="181" t="s">
        <v>2338</v>
      </c>
      <c r="B127" s="218" t="s">
        <v>2159</v>
      </c>
      <c r="C127" s="182" t="s">
        <v>20</v>
      </c>
      <c r="D127" s="182">
        <v>45</v>
      </c>
      <c r="E127" s="136">
        <f ca="1">OFFSET(INDEX(Composições!A:J,MATCH(A127,Composições!A:A,0),8),2,0)</f>
        <v>10.63945</v>
      </c>
      <c r="F127" s="137">
        <f t="shared" ca="1" si="15"/>
        <v>478.77525000000003</v>
      </c>
      <c r="G127" s="219">
        <f>BDI!$B$17</f>
        <v>0.191</v>
      </c>
      <c r="H127" s="138">
        <f t="shared" ca="1" si="16"/>
        <v>12.67</v>
      </c>
      <c r="I127" s="137">
        <f t="shared" ca="1" si="17"/>
        <v>570.15</v>
      </c>
      <c r="J127" s="115"/>
    </row>
    <row r="128" spans="1:10" x14ac:dyDescent="0.3">
      <c r="A128" s="181" t="s">
        <v>2339</v>
      </c>
      <c r="B128" s="218" t="s">
        <v>2160</v>
      </c>
      <c r="C128" s="182" t="s">
        <v>42</v>
      </c>
      <c r="D128" s="182">
        <v>822.02</v>
      </c>
      <c r="E128" s="136">
        <f ca="1">OFFSET(INDEX(Composições!A:J,MATCH(A128,Composições!A:A,0),8),2,0)</f>
        <v>15.758365900000001</v>
      </c>
      <c r="F128" s="137">
        <f t="shared" ca="1" si="15"/>
        <v>12953.691937118001</v>
      </c>
      <c r="G128" s="219">
        <f>BDI!$B$17</f>
        <v>0.191</v>
      </c>
      <c r="H128" s="138">
        <f t="shared" ca="1" si="16"/>
        <v>18.77</v>
      </c>
      <c r="I128" s="137">
        <f t="shared" ca="1" si="17"/>
        <v>15429.32</v>
      </c>
      <c r="J128" s="115"/>
    </row>
    <row r="129" spans="1:10" x14ac:dyDescent="0.3">
      <c r="A129" s="181" t="s">
        <v>2340</v>
      </c>
      <c r="B129" s="218" t="s">
        <v>2161</v>
      </c>
      <c r="C129" s="182" t="s">
        <v>95</v>
      </c>
      <c r="D129" s="182">
        <v>775</v>
      </c>
      <c r="E129" s="136">
        <f ca="1">OFFSET(INDEX(Composições!A:J,MATCH(A129,Composições!A:A,0),8),2,0)</f>
        <v>52.1821001</v>
      </c>
      <c r="F129" s="137">
        <f t="shared" ca="1" si="15"/>
        <v>40441.127577500003</v>
      </c>
      <c r="G129" s="219">
        <f>BDI!$B$17</f>
        <v>0.191</v>
      </c>
      <c r="H129" s="138">
        <f t="shared" ca="1" si="16"/>
        <v>62.15</v>
      </c>
      <c r="I129" s="137">
        <f t="shared" ca="1" si="17"/>
        <v>48166.25</v>
      </c>
      <c r="J129" s="115"/>
    </row>
    <row r="130" spans="1:10" x14ac:dyDescent="0.3">
      <c r="A130" s="181" t="s">
        <v>2341</v>
      </c>
      <c r="B130" s="218" t="s">
        <v>2162</v>
      </c>
      <c r="C130" s="182" t="s">
        <v>93</v>
      </c>
      <c r="D130" s="182">
        <v>76</v>
      </c>
      <c r="E130" s="136">
        <f ca="1">OFFSET(INDEX(Composições!A:J,MATCH(A130,Composições!A:A,0),8),2,0)</f>
        <v>68.736392399999986</v>
      </c>
      <c r="F130" s="137">
        <f t="shared" ca="1" si="15"/>
        <v>5223.9658223999986</v>
      </c>
      <c r="G130" s="219">
        <f>BDI!$B$17</f>
        <v>0.191</v>
      </c>
      <c r="H130" s="138">
        <f t="shared" ca="1" si="16"/>
        <v>81.87</v>
      </c>
      <c r="I130" s="137">
        <f t="shared" ca="1" si="17"/>
        <v>6222.12</v>
      </c>
      <c r="J130" s="115"/>
    </row>
    <row r="131" spans="1:10" x14ac:dyDescent="0.3">
      <c r="A131" s="181" t="s">
        <v>2342</v>
      </c>
      <c r="B131" s="218" t="s">
        <v>2163</v>
      </c>
      <c r="C131" s="182" t="s">
        <v>95</v>
      </c>
      <c r="D131" s="182">
        <v>34</v>
      </c>
      <c r="E131" s="136">
        <f ca="1">OFFSET(INDEX(Composições!A:J,MATCH(A131,Composições!A:A,0),8),2,0)</f>
        <v>65.006656983360386</v>
      </c>
      <c r="F131" s="137">
        <f t="shared" ca="1" si="15"/>
        <v>2210.2263374342533</v>
      </c>
      <c r="G131" s="219">
        <f>BDI!$B$17</f>
        <v>0.191</v>
      </c>
      <c r="H131" s="138">
        <f t="shared" ca="1" si="16"/>
        <v>77.42</v>
      </c>
      <c r="I131" s="137">
        <f t="shared" ca="1" si="17"/>
        <v>2632.28</v>
      </c>
      <c r="J131" s="115"/>
    </row>
    <row r="132" spans="1:10" x14ac:dyDescent="0.3">
      <c r="A132" s="181" t="s">
        <v>2343</v>
      </c>
      <c r="B132" s="218" t="s">
        <v>2164</v>
      </c>
      <c r="C132" s="182" t="s">
        <v>20</v>
      </c>
      <c r="D132" s="182">
        <v>2</v>
      </c>
      <c r="E132" s="136">
        <f ca="1">OFFSET(INDEX(Composições!A:J,MATCH(A132,Composições!A:A,0),8),2,0)</f>
        <v>1078.1090706852106</v>
      </c>
      <c r="F132" s="137">
        <f t="shared" ca="1" si="15"/>
        <v>2156.2181413704211</v>
      </c>
      <c r="G132" s="219">
        <f>BDI!$B$17</f>
        <v>0.191</v>
      </c>
      <c r="H132" s="138">
        <f t="shared" ca="1" si="16"/>
        <v>1284.03</v>
      </c>
      <c r="I132" s="137">
        <f t="shared" ca="1" si="17"/>
        <v>2568.06</v>
      </c>
      <c r="J132" s="115"/>
    </row>
    <row r="133" spans="1:10" x14ac:dyDescent="0.3">
      <c r="A133" s="181" t="s">
        <v>2344</v>
      </c>
      <c r="B133" s="218" t="s">
        <v>2165</v>
      </c>
      <c r="C133" s="182" t="s">
        <v>93</v>
      </c>
      <c r="D133" s="182">
        <v>82.76</v>
      </c>
      <c r="E133" s="136">
        <f ca="1">OFFSET(INDEX(Composições!A:J,MATCH(A133,Composições!A:A,0),8),2,0)</f>
        <v>415.56307049999998</v>
      </c>
      <c r="F133" s="137">
        <f t="shared" ca="1" si="15"/>
        <v>34391.999714580001</v>
      </c>
      <c r="G133" s="219">
        <f>BDI!$B$17</f>
        <v>0.191</v>
      </c>
      <c r="H133" s="138">
        <f t="shared" ca="1" si="16"/>
        <v>494.94</v>
      </c>
      <c r="I133" s="137">
        <f t="shared" ca="1" si="17"/>
        <v>40961.230000000003</v>
      </c>
      <c r="J133" s="115"/>
    </row>
    <row r="134" spans="1:10" x14ac:dyDescent="0.3">
      <c r="A134" s="181" t="s">
        <v>2345</v>
      </c>
      <c r="B134" s="218" t="s">
        <v>2166</v>
      </c>
      <c r="C134" s="182" t="s">
        <v>20</v>
      </c>
      <c r="D134" s="182">
        <v>7</v>
      </c>
      <c r="E134" s="136">
        <f ca="1">OFFSET(INDEX(Composições!A:J,MATCH(A134,Composições!A:A,0),8),2,0)</f>
        <v>107.80126445000001</v>
      </c>
      <c r="F134" s="137">
        <f t="shared" ca="1" si="15"/>
        <v>754.60885115000008</v>
      </c>
      <c r="G134" s="219">
        <f>BDI!$B$17</f>
        <v>0.191</v>
      </c>
      <c r="H134" s="138">
        <f t="shared" ca="1" si="16"/>
        <v>128.38999999999999</v>
      </c>
      <c r="I134" s="137">
        <f t="shared" ca="1" si="17"/>
        <v>898.73</v>
      </c>
      <c r="J134" s="115"/>
    </row>
    <row r="135" spans="1:10" x14ac:dyDescent="0.3">
      <c r="A135" s="181" t="s">
        <v>2346</v>
      </c>
      <c r="B135" s="218" t="s">
        <v>2167</v>
      </c>
      <c r="C135" s="182" t="s">
        <v>95</v>
      </c>
      <c r="D135" s="182">
        <v>436</v>
      </c>
      <c r="E135" s="136">
        <f ca="1">OFFSET(INDEX(Composições!A:J,MATCH(A135,Composições!A:A,0),8),2,0)</f>
        <v>2.51536845</v>
      </c>
      <c r="F135" s="137">
        <f t="shared" ca="1" si="15"/>
        <v>1096.7006441999999</v>
      </c>
      <c r="G135" s="219">
        <f>BDI!$B$17</f>
        <v>0.191</v>
      </c>
      <c r="H135" s="138">
        <f t="shared" ca="1" si="16"/>
        <v>3</v>
      </c>
      <c r="I135" s="137">
        <f t="shared" ca="1" si="17"/>
        <v>1308</v>
      </c>
      <c r="J135" s="115"/>
    </row>
    <row r="136" spans="1:10" x14ac:dyDescent="0.3">
      <c r="A136" s="181" t="s">
        <v>2347</v>
      </c>
      <c r="B136" s="218" t="s">
        <v>2168</v>
      </c>
      <c r="C136" s="182" t="s">
        <v>93</v>
      </c>
      <c r="D136" s="182">
        <v>1800</v>
      </c>
      <c r="E136" s="136">
        <f ca="1">OFFSET(INDEX(Composições!A:J,MATCH(A136,Composições!A:A,0),8),2,0)</f>
        <v>44.685352779461404</v>
      </c>
      <c r="F136" s="137">
        <f t="shared" ca="1" si="15"/>
        <v>80433.635003030533</v>
      </c>
      <c r="G136" s="219">
        <f>BDI!$B$17</f>
        <v>0.191</v>
      </c>
      <c r="H136" s="138">
        <f t="shared" ca="1" si="16"/>
        <v>53.22</v>
      </c>
      <c r="I136" s="137">
        <f t="shared" ca="1" si="17"/>
        <v>95796</v>
      </c>
      <c r="J136" s="115"/>
    </row>
    <row r="137" spans="1:10" x14ac:dyDescent="0.3">
      <c r="A137" s="181" t="s">
        <v>2350</v>
      </c>
      <c r="B137" s="218" t="s">
        <v>2170</v>
      </c>
      <c r="C137" s="182" t="s">
        <v>20</v>
      </c>
      <c r="D137" s="182">
        <v>2</v>
      </c>
      <c r="E137" s="136">
        <f ca="1">OFFSET(INDEX(Composições!A:J,MATCH(A137,Composições!A:A,0),8),2,0)</f>
        <v>1347.5806435</v>
      </c>
      <c r="F137" s="137">
        <f t="shared" ca="1" si="15"/>
        <v>2695.1612869999999</v>
      </c>
      <c r="G137" s="219">
        <f>BDI!$B$17</f>
        <v>0.191</v>
      </c>
      <c r="H137" s="138">
        <f t="shared" ca="1" si="16"/>
        <v>1604.97</v>
      </c>
      <c r="I137" s="137">
        <f t="shared" ca="1" si="17"/>
        <v>3209.94</v>
      </c>
      <c r="J137" s="115"/>
    </row>
    <row r="138" spans="1:10" x14ac:dyDescent="0.3">
      <c r="A138" s="181" t="s">
        <v>2351</v>
      </c>
      <c r="B138" s="218" t="s">
        <v>2171</v>
      </c>
      <c r="C138" s="182" t="s">
        <v>20</v>
      </c>
      <c r="D138" s="182">
        <v>2</v>
      </c>
      <c r="E138" s="136">
        <f ca="1">OFFSET(INDEX(Composições!A:J,MATCH(A138,Composições!A:A,0),8),2,0)</f>
        <v>129.667</v>
      </c>
      <c r="F138" s="137">
        <f t="shared" ca="1" si="15"/>
        <v>259.334</v>
      </c>
      <c r="G138" s="219">
        <f>BDI!$B$17</f>
        <v>0.191</v>
      </c>
      <c r="H138" s="138">
        <f t="shared" ca="1" si="16"/>
        <v>154.43</v>
      </c>
      <c r="I138" s="137">
        <f t="shared" ca="1" si="17"/>
        <v>308.86</v>
      </c>
      <c r="J138" s="115"/>
    </row>
    <row r="139" spans="1:10" x14ac:dyDescent="0.3">
      <c r="A139" s="215"/>
      <c r="B139" s="216" t="s">
        <v>2389</v>
      </c>
      <c r="C139" s="217"/>
      <c r="D139" s="217"/>
      <c r="E139" s="217"/>
      <c r="F139" s="217"/>
      <c r="G139" s="173"/>
      <c r="H139" s="217"/>
      <c r="I139" s="217"/>
      <c r="J139" s="114"/>
    </row>
    <row r="140" spans="1:10" x14ac:dyDescent="0.3">
      <c r="A140" s="181" t="s">
        <v>2177</v>
      </c>
      <c r="B140" s="218" t="s">
        <v>2140</v>
      </c>
      <c r="C140" s="182" t="s">
        <v>20</v>
      </c>
      <c r="D140" s="182">
        <v>48</v>
      </c>
      <c r="E140" s="196">
        <v>20200.96</v>
      </c>
      <c r="F140" s="137">
        <f t="shared" ref="F140" si="18">IF(ISNUMBER(E140),D140*E140,"")</f>
        <v>969646.07999999996</v>
      </c>
      <c r="G140" s="219">
        <v>0</v>
      </c>
      <c r="H140" s="138">
        <f t="shared" ref="H140" si="19">IF(ISNUMBER(E140),ROUND(E140*(1+G140),2),"")</f>
        <v>20200.96</v>
      </c>
      <c r="I140" s="137">
        <f t="shared" ref="I140" si="20">IF(ISNUMBER(E140),ROUND(H140*D140,2),"")</f>
        <v>969646.07999999996</v>
      </c>
      <c r="J140" s="115"/>
    </row>
    <row r="141" spans="1:10" x14ac:dyDescent="0.3">
      <c r="A141" s="181" t="s">
        <v>2179</v>
      </c>
      <c r="B141" s="218" t="s">
        <v>2142</v>
      </c>
      <c r="C141" s="182" t="s">
        <v>103</v>
      </c>
      <c r="D141" s="182">
        <v>85000</v>
      </c>
      <c r="E141" s="136">
        <f ca="1">OFFSET(INDEX(Composições!A:J,MATCH(A141,Composições!A:A,0),8),2,0)</f>
        <v>4.5999999999999996</v>
      </c>
      <c r="F141" s="137">
        <f t="shared" ref="F141" ca="1" si="21">IF(ISNUMBER(E141),D141*E141,"")</f>
        <v>390999.99999999994</v>
      </c>
      <c r="G141" s="219">
        <f>BDI!$B$17</f>
        <v>0.191</v>
      </c>
      <c r="H141" s="138">
        <f t="shared" ref="H141" ca="1" si="22">IF(ISNUMBER(E141),ROUND(E141*(1+G141),2),"")</f>
        <v>5.48</v>
      </c>
      <c r="I141" s="137">
        <f t="shared" ref="I141" ca="1" si="23">IF(ISNUMBER(E141),ROUND(H141*D141,2),"")</f>
        <v>465800</v>
      </c>
      <c r="J141" s="115"/>
    </row>
    <row r="142" spans="1:10" ht="3.75" customHeight="1" thickBot="1" x14ac:dyDescent="0.35">
      <c r="A142" s="183"/>
      <c r="B142" s="184"/>
      <c r="C142" s="185"/>
      <c r="D142" s="185"/>
      <c r="E142" s="186"/>
      <c r="F142" s="186"/>
      <c r="G142" s="187"/>
      <c r="H142" s="188"/>
      <c r="I142" s="189"/>
      <c r="J142" s="117"/>
    </row>
    <row r="143" spans="1:10" ht="15" thickBot="1" x14ac:dyDescent="0.35">
      <c r="A143" s="144">
        <f>SUBTOTAL(103,A7:A142)</f>
        <v>132</v>
      </c>
      <c r="B143" s="190"/>
      <c r="C143" s="143"/>
      <c r="D143" s="191"/>
      <c r="E143" s="191"/>
      <c r="F143" s="141"/>
      <c r="G143" s="191"/>
      <c r="H143" s="191" t="s">
        <v>1530</v>
      </c>
      <c r="I143" s="139">
        <f ca="1">SUBTOTAL(109,F7:F142)</f>
        <v>16983593.368170805</v>
      </c>
      <c r="J143" s="117"/>
    </row>
    <row r="144" spans="1:10" ht="15" thickBot="1" x14ac:dyDescent="0.35">
      <c r="A144" s="192"/>
      <c r="B144" s="193"/>
      <c r="C144" s="143"/>
      <c r="D144" s="194"/>
      <c r="E144" s="194"/>
      <c r="F144" s="142"/>
      <c r="G144" s="195"/>
      <c r="H144" s="195" t="s">
        <v>7</v>
      </c>
      <c r="I144" s="140">
        <f ca="1">SUBTOTAL(109,I7:I142)</f>
        <v>17894974.43</v>
      </c>
      <c r="J144" s="117"/>
    </row>
    <row r="145" spans="1:10" x14ac:dyDescent="0.3">
      <c r="A145" s="3"/>
      <c r="B145" s="118"/>
      <c r="C145" s="3"/>
      <c r="D145" s="119"/>
      <c r="E145" s="120"/>
      <c r="F145" s="121"/>
      <c r="G145" s="120"/>
      <c r="H145" s="120"/>
      <c r="I145" s="121"/>
      <c r="J145" s="117"/>
    </row>
    <row r="146" spans="1:10" x14ac:dyDescent="0.3">
      <c r="A146" s="3"/>
      <c r="B146" s="118"/>
      <c r="C146" s="3"/>
      <c r="D146" s="122"/>
      <c r="E146" s="123"/>
      <c r="F146" s="123"/>
      <c r="G146" s="123"/>
      <c r="H146" s="123"/>
      <c r="I146" s="123"/>
      <c r="J146" s="117"/>
    </row>
  </sheetData>
  <sheetProtection algorithmName="SHA-512" hashValue="qmsJvj7YJTsH3R2mjKGOH46KTNre9qlDzvO2t4VYQB/wn5aBV5YqXqdwifKXjShfjd/5r47PQvCKi7xLCF9lfA==" saltValue="Oc4WyeB4aZtG8vyRCt2Ggg==" spinCount="100000" sheet="1" objects="1" scenarios="1"/>
  <protectedRanges>
    <protectedRange sqref="D7:D11 D13:D24 D26:D138 D140:D141" name="COTACOES_2_7"/>
  </protectedRanges>
  <autoFilter ref="A5:J143" xr:uid="{00000000-0009-0000-0000-000003000000}"/>
  <conditionalFormatting sqref="C7:C11 C13:C24 C26:C138 C140:C141">
    <cfRule type="containsBlanks" dxfId="4" priority="43">
      <formula>LEN(TRIM(C7))=0</formula>
    </cfRule>
    <cfRule type="containsBlanks" priority="44">
      <formula>LEN(TRIM(C7))=0</formula>
    </cfRule>
  </conditionalFormatting>
  <conditionalFormatting sqref="B142 B7:B11">
    <cfRule type="duplicateValues" dxfId="3" priority="21"/>
  </conditionalFormatting>
  <conditionalFormatting sqref="B13:B24">
    <cfRule type="duplicateValues" dxfId="2" priority="9"/>
  </conditionalFormatting>
  <conditionalFormatting sqref="B140:B141">
    <cfRule type="duplicateValues" dxfId="1" priority="3"/>
  </conditionalFormatting>
  <conditionalFormatting sqref="B26:B138">
    <cfRule type="duplicateValues" dxfId="0" priority="4179"/>
  </conditionalFormatting>
  <printOptions horizontalCentered="1"/>
  <pageMargins left="0.19685039370078741" right="0.19685039370078741" top="1.1811023622047245" bottom="0.59055118110236227" header="0.19685039370078741" footer="0.19685039370078741"/>
  <pageSetup paperSize="9" scale="63" fitToHeight="0"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8">
    <pageSetUpPr fitToPage="1"/>
  </sheetPr>
  <dimension ref="A1:E41"/>
  <sheetViews>
    <sheetView zoomScale="80" zoomScaleNormal="80" workbookViewId="0">
      <selection activeCell="I14" sqref="I14"/>
    </sheetView>
  </sheetViews>
  <sheetFormatPr defaultRowHeight="14.4" x14ac:dyDescent="0.3"/>
  <cols>
    <col min="1" max="1" width="30.6640625" customWidth="1"/>
    <col min="2" max="2" width="25.6640625" customWidth="1"/>
    <col min="3" max="3" width="5.5546875" customWidth="1"/>
    <col min="4" max="4" width="30.6640625" customWidth="1"/>
    <col min="5" max="5" width="25.6640625" customWidth="1"/>
  </cols>
  <sheetData>
    <row r="1" spans="1:5" ht="24.9" customHeight="1" x14ac:dyDescent="0.3">
      <c r="A1" s="135" t="e">
        <f>#REF!</f>
        <v>#REF!</v>
      </c>
      <c r="B1" s="124"/>
      <c r="C1" s="124"/>
      <c r="D1" s="124"/>
      <c r="E1" s="124"/>
    </row>
    <row r="2" spans="1:5" ht="24.9" customHeight="1" x14ac:dyDescent="0.3">
      <c r="A2" s="107" t="s">
        <v>1637</v>
      </c>
      <c r="B2" s="107"/>
      <c r="C2" s="107"/>
      <c r="D2" s="107"/>
      <c r="E2" s="107"/>
    </row>
    <row r="3" spans="1:5" ht="18" customHeight="1" thickBot="1" x14ac:dyDescent="0.35">
      <c r="A3" s="126"/>
      <c r="B3" s="126"/>
      <c r="C3" s="127"/>
      <c r="D3" s="126"/>
      <c r="E3" s="126"/>
    </row>
    <row r="4" spans="1:5" ht="24.9" customHeight="1" thickBot="1" x14ac:dyDescent="0.35">
      <c r="A4" s="197" t="s">
        <v>1638</v>
      </c>
      <c r="B4" s="198"/>
      <c r="C4" s="199"/>
      <c r="D4" s="197" t="s">
        <v>1639</v>
      </c>
      <c r="E4" s="198"/>
    </row>
    <row r="5" spans="1:5" ht="20.100000000000001" customHeight="1" x14ac:dyDescent="0.3">
      <c r="A5" s="246" t="s">
        <v>1640</v>
      </c>
      <c r="B5" s="200" t="s">
        <v>1641</v>
      </c>
      <c r="C5" s="201"/>
      <c r="D5" s="246" t="s">
        <v>1640</v>
      </c>
      <c r="E5" s="200" t="s">
        <v>1641</v>
      </c>
    </row>
    <row r="6" spans="1:5" ht="20.100000000000001" customHeight="1" x14ac:dyDescent="0.3">
      <c r="A6" s="247"/>
      <c r="B6" s="202" t="s">
        <v>1642</v>
      </c>
      <c r="C6" s="201"/>
      <c r="D6" s="247"/>
      <c r="E6" s="202" t="s">
        <v>1642</v>
      </c>
    </row>
    <row r="7" spans="1:5" ht="20.100000000000001" customHeight="1" x14ac:dyDescent="0.3">
      <c r="A7" s="248"/>
      <c r="B7" s="203" t="s">
        <v>1643</v>
      </c>
      <c r="C7" s="201"/>
      <c r="D7" s="248"/>
      <c r="E7" s="203" t="s">
        <v>1643</v>
      </c>
    </row>
    <row r="8" spans="1:5" ht="20.100000000000001" customHeight="1" x14ac:dyDescent="0.3">
      <c r="A8" s="204" t="s">
        <v>1644</v>
      </c>
      <c r="B8" s="128">
        <v>3.5000000000000003E-2</v>
      </c>
      <c r="C8" s="205"/>
      <c r="D8" s="204" t="s">
        <v>1644</v>
      </c>
      <c r="E8" s="128">
        <v>1.7500000000000002E-2</v>
      </c>
    </row>
    <row r="9" spans="1:5" ht="20.100000000000001" customHeight="1" x14ac:dyDescent="0.3">
      <c r="A9" s="204" t="s">
        <v>1645</v>
      </c>
      <c r="B9" s="128">
        <v>8.0000000000000002E-3</v>
      </c>
      <c r="C9" s="205"/>
      <c r="D9" s="204" t="s">
        <v>1645</v>
      </c>
      <c r="E9" s="128">
        <v>3.8999999999999998E-3</v>
      </c>
    </row>
    <row r="10" spans="1:5" ht="20.100000000000001" customHeight="1" x14ac:dyDescent="0.3">
      <c r="A10" s="204" t="s">
        <v>1646</v>
      </c>
      <c r="B10" s="128">
        <v>1.2500000000000001E-2</v>
      </c>
      <c r="C10" s="205"/>
      <c r="D10" s="204" t="s">
        <v>1646</v>
      </c>
      <c r="E10" s="128">
        <v>5.5999999999999999E-3</v>
      </c>
    </row>
    <row r="11" spans="1:5" ht="20.100000000000001" customHeight="1" x14ac:dyDescent="0.3">
      <c r="A11" s="204" t="s">
        <v>1647</v>
      </c>
      <c r="B11" s="128">
        <v>7.6E-3</v>
      </c>
      <c r="C11" s="205"/>
      <c r="D11" s="204" t="s">
        <v>1647</v>
      </c>
      <c r="E11" s="128">
        <v>8.5000000000000006E-3</v>
      </c>
    </row>
    <row r="12" spans="1:5" ht="20.100000000000001" customHeight="1" x14ac:dyDescent="0.3">
      <c r="A12" s="204" t="s">
        <v>103</v>
      </c>
      <c r="B12" s="128">
        <v>6.7799999999999999E-2</v>
      </c>
      <c r="C12" s="205"/>
      <c r="D12" s="204" t="s">
        <v>103</v>
      </c>
      <c r="E12" s="128">
        <v>3.5000000000000003E-2</v>
      </c>
    </row>
    <row r="13" spans="1:5" ht="20.100000000000001" customHeight="1" x14ac:dyDescent="0.3">
      <c r="A13" s="204" t="s">
        <v>1648</v>
      </c>
      <c r="B13" s="128">
        <v>6.4999999999999997E-3</v>
      </c>
      <c r="C13" s="205"/>
      <c r="D13" s="204" t="s">
        <v>1648</v>
      </c>
      <c r="E13" s="128">
        <v>6.4999999999999997E-3</v>
      </c>
    </row>
    <row r="14" spans="1:5" ht="20.100000000000001" customHeight="1" x14ac:dyDescent="0.3">
      <c r="A14" s="204" t="s">
        <v>1649</v>
      </c>
      <c r="B14" s="128">
        <v>0.03</v>
      </c>
      <c r="C14" s="205"/>
      <c r="D14" s="204" t="s">
        <v>1649</v>
      </c>
      <c r="E14" s="128">
        <v>0.03</v>
      </c>
    </row>
    <row r="15" spans="1:5" ht="20.100000000000001" customHeight="1" x14ac:dyDescent="0.3">
      <c r="A15" s="204" t="s">
        <v>1650</v>
      </c>
      <c r="B15" s="128">
        <v>0</v>
      </c>
      <c r="C15" s="205"/>
      <c r="D15" s="204" t="s">
        <v>1650</v>
      </c>
      <c r="E15" s="128">
        <v>0</v>
      </c>
    </row>
    <row r="16" spans="1:5" ht="20.100000000000001" customHeight="1" x14ac:dyDescent="0.3">
      <c r="A16" s="204" t="s">
        <v>1651</v>
      </c>
      <c r="B16" s="128">
        <v>0.01</v>
      </c>
      <c r="C16" s="205"/>
      <c r="D16" s="204" t="s">
        <v>1651</v>
      </c>
      <c r="E16" s="128">
        <v>0</v>
      </c>
    </row>
    <row r="17" spans="1:5" ht="24.9" customHeight="1" thickBot="1" x14ac:dyDescent="0.35">
      <c r="A17" s="206" t="s">
        <v>1638</v>
      </c>
      <c r="B17" s="207">
        <f>ROUND(((1+B8+B9+B10)*(1+B11)*(1+B12))/(1-(B13+B14+B15+B16))-1,4)</f>
        <v>0.191</v>
      </c>
      <c r="C17" s="205"/>
      <c r="D17" s="208" t="s">
        <v>1639</v>
      </c>
      <c r="E17" s="207">
        <f>ROUND(((1+E8+E9+E10)*(1+E11)*(1+E12))/(1-(E13+E14+E15+E16))-1,4)</f>
        <v>0.11260000000000001</v>
      </c>
    </row>
    <row r="18" spans="1:5" x14ac:dyDescent="0.3">
      <c r="A18" s="209"/>
      <c r="B18" s="205"/>
      <c r="C18" s="210"/>
      <c r="D18" s="209"/>
      <c r="E18" s="205"/>
    </row>
    <row r="19" spans="1:5" x14ac:dyDescent="0.3">
      <c r="A19" s="211"/>
      <c r="B19" s="212"/>
      <c r="C19" s="205"/>
      <c r="D19" s="211"/>
      <c r="E19" s="212"/>
    </row>
    <row r="20" spans="1:5" x14ac:dyDescent="0.3">
      <c r="A20" s="213"/>
      <c r="B20" s="213"/>
      <c r="C20" s="213"/>
      <c r="D20" s="214"/>
      <c r="E20" s="213"/>
    </row>
    <row r="21" spans="1:5" x14ac:dyDescent="0.3">
      <c r="A21" s="213"/>
      <c r="B21" s="213"/>
      <c r="C21" s="213"/>
      <c r="D21" s="213"/>
      <c r="E21" s="213"/>
    </row>
    <row r="22" spans="1:5" x14ac:dyDescent="0.3">
      <c r="A22" s="213"/>
      <c r="B22" s="213"/>
      <c r="C22" s="213"/>
      <c r="D22" s="213"/>
      <c r="E22" s="213"/>
    </row>
    <row r="23" spans="1:5" x14ac:dyDescent="0.3">
      <c r="A23" s="213"/>
      <c r="B23" s="213"/>
      <c r="C23" s="213"/>
      <c r="D23" s="213"/>
      <c r="E23" s="213"/>
    </row>
    <row r="24" spans="1:5" x14ac:dyDescent="0.3">
      <c r="A24" s="213"/>
      <c r="B24" s="213"/>
      <c r="C24" s="213"/>
      <c r="D24" s="213"/>
      <c r="E24" s="213"/>
    </row>
    <row r="25" spans="1:5" x14ac:dyDescent="0.3">
      <c r="A25" s="213"/>
      <c r="B25" s="213"/>
      <c r="C25" s="213"/>
      <c r="D25" s="213"/>
      <c r="E25" s="213"/>
    </row>
    <row r="26" spans="1:5" x14ac:dyDescent="0.3">
      <c r="A26" s="213"/>
      <c r="B26" s="213"/>
      <c r="C26" s="213"/>
      <c r="D26" s="213"/>
      <c r="E26" s="213"/>
    </row>
    <row r="27" spans="1:5" x14ac:dyDescent="0.3">
      <c r="A27" s="213"/>
      <c r="B27" s="213"/>
      <c r="C27" s="213"/>
      <c r="D27" s="213"/>
      <c r="E27" s="213"/>
    </row>
    <row r="28" spans="1:5" x14ac:dyDescent="0.3">
      <c r="A28" s="213"/>
      <c r="B28" s="213"/>
      <c r="C28" s="213"/>
      <c r="D28" s="213"/>
      <c r="E28" s="213"/>
    </row>
    <row r="29" spans="1:5" x14ac:dyDescent="0.3">
      <c r="A29" s="213"/>
      <c r="B29" s="213"/>
      <c r="C29" s="213"/>
      <c r="D29" s="213"/>
      <c r="E29" s="213"/>
    </row>
    <row r="30" spans="1:5" x14ac:dyDescent="0.3">
      <c r="A30" s="213"/>
      <c r="B30" s="213"/>
      <c r="C30" s="213"/>
      <c r="D30" s="213"/>
      <c r="E30" s="213"/>
    </row>
    <row r="31" spans="1:5" x14ac:dyDescent="0.3">
      <c r="A31" s="213"/>
      <c r="B31" s="213"/>
      <c r="C31" s="213"/>
      <c r="D31" s="213"/>
      <c r="E31" s="213"/>
    </row>
    <row r="32" spans="1:5" x14ac:dyDescent="0.3">
      <c r="A32" s="213"/>
      <c r="B32" s="213"/>
      <c r="C32" s="213"/>
      <c r="D32" s="213"/>
      <c r="E32" s="213"/>
    </row>
    <row r="33" spans="1:5" x14ac:dyDescent="0.3">
      <c r="A33" s="213"/>
      <c r="B33" s="213"/>
      <c r="C33" s="213"/>
      <c r="D33" s="213"/>
      <c r="E33" s="213"/>
    </row>
    <row r="34" spans="1:5" x14ac:dyDescent="0.3">
      <c r="A34" s="213"/>
      <c r="B34" s="213"/>
      <c r="C34" s="213"/>
      <c r="D34" s="213"/>
      <c r="E34" s="213"/>
    </row>
    <row r="35" spans="1:5" x14ac:dyDescent="0.3">
      <c r="A35" s="213"/>
      <c r="B35" s="213"/>
      <c r="C35" s="213"/>
      <c r="D35" s="213"/>
      <c r="E35" s="213"/>
    </row>
    <row r="36" spans="1:5" x14ac:dyDescent="0.3">
      <c r="A36" s="213"/>
      <c r="B36" s="213"/>
      <c r="C36" s="213"/>
      <c r="D36" s="213"/>
      <c r="E36" s="213"/>
    </row>
    <row r="37" spans="1:5" x14ac:dyDescent="0.3">
      <c r="A37" s="213"/>
      <c r="B37" s="213"/>
      <c r="C37" s="213"/>
      <c r="D37" s="213"/>
      <c r="E37" s="213"/>
    </row>
    <row r="38" spans="1:5" x14ac:dyDescent="0.3">
      <c r="A38" s="213"/>
      <c r="B38" s="213"/>
      <c r="C38" s="213"/>
      <c r="D38" s="213"/>
      <c r="E38" s="213"/>
    </row>
    <row r="39" spans="1:5" ht="15.6" x14ac:dyDescent="0.3">
      <c r="A39" s="249" t="s">
        <v>1652</v>
      </c>
      <c r="B39" s="249"/>
      <c r="C39" s="249"/>
      <c r="D39" s="249"/>
      <c r="E39" s="249"/>
    </row>
    <row r="40" spans="1:5" x14ac:dyDescent="0.3">
      <c r="A40" s="117"/>
      <c r="B40" s="117"/>
      <c r="C40" s="117"/>
      <c r="D40" s="117"/>
      <c r="E40" s="117"/>
    </row>
    <row r="41" spans="1:5" x14ac:dyDescent="0.3">
      <c r="A41" s="117"/>
      <c r="B41" s="117"/>
      <c r="C41" s="117"/>
      <c r="D41" s="117"/>
      <c r="E41" s="117"/>
    </row>
  </sheetData>
  <sheetProtection algorithmName="SHA-512" hashValue="8VA3Yp1F0YxxDWrPZiB+GoPyQS14sYoeEo3BQFsoOV/DsF0mGwqZPnlyRYUVEvbsBgpKiL9RzOpyWCYoe12vFw==" saltValue="WPxUevfxOWoIFJkdHiynKQ==" spinCount="100000" sheet="1" objects="1" scenarios="1"/>
  <mergeCells count="3">
    <mergeCell ref="A5:A7"/>
    <mergeCell ref="D5:D7"/>
    <mergeCell ref="A39:E39"/>
  </mergeCells>
  <printOptions horizontalCentered="1"/>
  <pageMargins left="0.19685039370078741" right="0.19685039370078741" top="1.3779527559055118" bottom="0.59055118110236227" header="0.19685039370078741" footer="0.19685039370078741"/>
  <pageSetup paperSize="9" scale="68"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9</vt:i4>
      </vt:variant>
    </vt:vector>
  </HeadingPairs>
  <TitlesOfParts>
    <vt:vector size="14" baseType="lpstr">
      <vt:lpstr>Composições</vt:lpstr>
      <vt:lpstr>Comp.Aux1</vt:lpstr>
      <vt:lpstr>Comp.Aux2</vt:lpstr>
      <vt:lpstr>Orçamentária</vt:lpstr>
      <vt:lpstr>BDI</vt:lpstr>
      <vt:lpstr>BDI!Area_de_impressao</vt:lpstr>
      <vt:lpstr>Comp.Aux1!Area_de_impressao</vt:lpstr>
      <vt:lpstr>Comp.Aux2!Area_de_impressao</vt:lpstr>
      <vt:lpstr>Composições!Area_de_impressao</vt:lpstr>
      <vt:lpstr>Orçamentária!Area_de_impressao</vt:lpstr>
      <vt:lpstr>Comp.Aux1!Titulos_de_impressao</vt:lpstr>
      <vt:lpstr>Comp.Aux2!Titulos_de_impressao</vt:lpstr>
      <vt:lpstr>Composições!Titulos_de_impressao</vt:lpstr>
      <vt:lpstr>Orçamentária!Titulos_de_impressao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Thauler</dc:creator>
  <cp:lastModifiedBy>Paula Parente</cp:lastModifiedBy>
  <cp:lastPrinted>2021-12-10T14:10:53Z</cp:lastPrinted>
  <dcterms:created xsi:type="dcterms:W3CDTF">2020-07-07T13:57:42Z</dcterms:created>
  <dcterms:modified xsi:type="dcterms:W3CDTF">2022-01-25T17:24:44Z</dcterms:modified>
</cp:coreProperties>
</file>